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workbookProtection workbookAlgorithmName="SHA-512" workbookHashValue="Sxn6BPxDeRzGMg5f1QWe2xWgk74NVd8+b+yjpLefiPZP3FbJqCwX7GacLa9eWMuUzDYqnU35Wq4Ac3JG7qlWmQ==" workbookSaltValue="V3SJ7/wDifoV8wLKYJIsDw==" workbookSpinCount="100000" lockStructure="1"/>
  <bookViews>
    <workbookView xWindow="-105" yWindow="-105" windowWidth="20640" windowHeight="11760"/>
  </bookViews>
  <sheets>
    <sheet name="RWB" sheetId="3" r:id="rId1"/>
    <sheet name="I.S.R." sheetId="5" state="hidden" r:id="rId2"/>
  </sheets>
  <definedNames>
    <definedName name="_xlnm._FilterDatabase" localSheetId="0" hidden="1">RWB!$A$9:$D$9</definedName>
    <definedName name="_xlnm.Print_Area" localSheetId="1">I.S.R.!$A$4:$F$5</definedName>
  </definedNames>
  <calcPr calcId="181029"/>
</workbook>
</file>

<file path=xl/calcChain.xml><?xml version="1.0" encoding="utf-8"?>
<calcChain xmlns="http://schemas.openxmlformats.org/spreadsheetml/2006/main">
  <c r="M19" i="5" l="1"/>
  <c r="M18" i="5"/>
  <c r="M17" i="5"/>
  <c r="M16" i="5"/>
  <c r="M15" i="5"/>
  <c r="M14" i="5"/>
  <c r="M13" i="5"/>
  <c r="M12" i="5"/>
  <c r="M11" i="5"/>
  <c r="M10" i="5"/>
  <c r="AA21" i="5"/>
  <c r="AA19" i="5"/>
  <c r="AA18" i="5"/>
  <c r="AA17" i="5"/>
  <c r="AA16" i="5"/>
  <c r="AA15" i="5"/>
  <c r="AA14" i="5"/>
  <c r="AA13" i="5"/>
  <c r="AA12" i="5"/>
  <c r="AA11" i="5"/>
  <c r="D10" i="3"/>
  <c r="D13" i="3"/>
  <c r="F7" i="3"/>
  <c r="C16" i="3" l="1"/>
  <c r="C15" i="3"/>
  <c r="F6" i="3" l="1"/>
  <c r="D14" i="3" l="1"/>
  <c r="B13" i="5" l="1"/>
  <c r="C17" i="5"/>
  <c r="C19" i="5"/>
  <c r="C18" i="5"/>
  <c r="AC21" i="5" l="1"/>
  <c r="AC12" i="5"/>
  <c r="AC13" i="5"/>
  <c r="AC14" i="5"/>
  <c r="AC15" i="5"/>
  <c r="AC16" i="5"/>
  <c r="AC17" i="5"/>
  <c r="AC18" i="5"/>
  <c r="AC19" i="5"/>
  <c r="AC11" i="5"/>
  <c r="S21" i="5"/>
  <c r="S12" i="5"/>
  <c r="S13" i="5"/>
  <c r="S14" i="5"/>
  <c r="S15" i="5"/>
  <c r="S16" i="5"/>
  <c r="S17" i="5"/>
  <c r="S18" i="5"/>
  <c r="S19" i="5"/>
  <c r="S11" i="5"/>
  <c r="Q21" i="5"/>
  <c r="Q13" i="5"/>
  <c r="Q14" i="5"/>
  <c r="Q15" i="5"/>
  <c r="Q16" i="5"/>
  <c r="Q17" i="5"/>
  <c r="Q18" i="5"/>
  <c r="Q19" i="5"/>
  <c r="Q12" i="5"/>
  <c r="Q11" i="5"/>
  <c r="B5" i="5" l="1"/>
  <c r="D11" i="3" l="1"/>
  <c r="D12" i="3" s="1"/>
  <c r="D16" i="3"/>
  <c r="D15" i="3"/>
  <c r="B14" i="5" s="1"/>
  <c r="G5" i="5"/>
  <c r="C5" i="5"/>
  <c r="D5" i="5" s="1"/>
  <c r="G13" i="5"/>
  <c r="E14" i="5" l="1"/>
  <c r="C14" i="5"/>
  <c r="D14" i="5" s="1"/>
  <c r="G14" i="5"/>
  <c r="B15" i="5"/>
  <c r="B9" i="5"/>
  <c r="B10" i="5"/>
  <c r="E13" i="5"/>
  <c r="C13" i="5"/>
  <c r="D13" i="5" s="1"/>
  <c r="F14" i="5" l="1"/>
  <c r="H14" i="5" s="1"/>
  <c r="J14" i="5" s="1"/>
  <c r="C10" i="5"/>
  <c r="D10" i="5" s="1"/>
  <c r="E10" i="5"/>
  <c r="G10" i="5"/>
  <c r="G9" i="5"/>
  <c r="C9" i="5"/>
  <c r="D9" i="5" s="1"/>
  <c r="E9" i="5"/>
  <c r="C15" i="5"/>
  <c r="D15" i="5" s="1"/>
  <c r="G15" i="5"/>
  <c r="E15" i="5"/>
  <c r="F13" i="5"/>
  <c r="H13" i="5" s="1"/>
  <c r="J13" i="5" s="1"/>
  <c r="F14" i="3" s="1"/>
  <c r="V40" i="5"/>
  <c r="W39" i="5" s="1"/>
  <c r="S40" i="5"/>
  <c r="AC40" i="5" s="1"/>
  <c r="Q40" i="5"/>
  <c r="AA40" i="5" s="1"/>
  <c r="AB39" i="5" s="1"/>
  <c r="X39" i="5"/>
  <c r="V39" i="5"/>
  <c r="W38" i="5" s="1"/>
  <c r="S39" i="5"/>
  <c r="AC39" i="5" s="1"/>
  <c r="Q39" i="5"/>
  <c r="AA39" i="5" s="1"/>
  <c r="AB38" i="5" s="1"/>
  <c r="M39" i="5"/>
  <c r="X38" i="5"/>
  <c r="V38" i="5"/>
  <c r="W37" i="5" s="1"/>
  <c r="S38" i="5"/>
  <c r="AC38" i="5" s="1"/>
  <c r="Q38" i="5"/>
  <c r="AA38" i="5" s="1"/>
  <c r="AB37" i="5" s="1"/>
  <c r="M38" i="5"/>
  <c r="X37" i="5"/>
  <c r="V37" i="5"/>
  <c r="W36" i="5" s="1"/>
  <c r="S37" i="5"/>
  <c r="AC37" i="5" s="1"/>
  <c r="Q37" i="5"/>
  <c r="AA37" i="5" s="1"/>
  <c r="AB36" i="5" s="1"/>
  <c r="M37" i="5"/>
  <c r="X36" i="5"/>
  <c r="V36" i="5"/>
  <c r="W35" i="5" s="1"/>
  <c r="S36" i="5"/>
  <c r="AC36" i="5" s="1"/>
  <c r="Q36" i="5"/>
  <c r="AA36" i="5" s="1"/>
  <c r="AB35" i="5" s="1"/>
  <c r="M36" i="5"/>
  <c r="X35" i="5"/>
  <c r="V35" i="5"/>
  <c r="W34" i="5" s="1"/>
  <c r="S35" i="5"/>
  <c r="AC35" i="5" s="1"/>
  <c r="Q35" i="5"/>
  <c r="M35" i="5"/>
  <c r="X34" i="5"/>
  <c r="V34" i="5"/>
  <c r="W33" i="5" s="1"/>
  <c r="S34" i="5"/>
  <c r="AC34" i="5" s="1"/>
  <c r="Q34" i="5"/>
  <c r="AA34" i="5" s="1"/>
  <c r="AB33" i="5" s="1"/>
  <c r="M34" i="5"/>
  <c r="X33" i="5"/>
  <c r="V33" i="5"/>
  <c r="W32" i="5" s="1"/>
  <c r="S33" i="5"/>
  <c r="AC33" i="5" s="1"/>
  <c r="Q33" i="5"/>
  <c r="AA33" i="5" s="1"/>
  <c r="AB32" i="5" s="1"/>
  <c r="M33" i="5"/>
  <c r="X32" i="5"/>
  <c r="V32" i="5"/>
  <c r="W31" i="5" s="1"/>
  <c r="S32" i="5"/>
  <c r="AC32" i="5" s="1"/>
  <c r="Q32" i="5"/>
  <c r="AA32" i="5" s="1"/>
  <c r="AB31" i="5" s="1"/>
  <c r="M32" i="5"/>
  <c r="X31" i="5"/>
  <c r="V31" i="5"/>
  <c r="W30" i="5" s="1"/>
  <c r="S31" i="5"/>
  <c r="AC31" i="5" s="1"/>
  <c r="Q31" i="5"/>
  <c r="AA31" i="5" s="1"/>
  <c r="AB30" i="5" s="1"/>
  <c r="M31" i="5"/>
  <c r="X30" i="5"/>
  <c r="S30" i="5"/>
  <c r="AC30" i="5" s="1"/>
  <c r="M30" i="5"/>
  <c r="Y21" i="5"/>
  <c r="X21" i="5"/>
  <c r="V21" i="5"/>
  <c r="W19" i="5" s="1"/>
  <c r="AD21" i="5"/>
  <c r="AB19" i="5"/>
  <c r="AD19" i="5"/>
  <c r="AB18" i="5"/>
  <c r="Y19" i="5"/>
  <c r="X19" i="5"/>
  <c r="V19" i="5"/>
  <c r="W18" i="5" s="1"/>
  <c r="R19" i="5"/>
  <c r="AD18" i="5"/>
  <c r="AB17" i="5"/>
  <c r="Y18" i="5"/>
  <c r="X18" i="5"/>
  <c r="V18" i="5"/>
  <c r="W17" i="5" s="1"/>
  <c r="R18" i="5"/>
  <c r="AD17" i="5"/>
  <c r="AB16" i="5"/>
  <c r="Y17" i="5"/>
  <c r="X17" i="5"/>
  <c r="V17" i="5"/>
  <c r="W16" i="5" s="1"/>
  <c r="R17" i="5"/>
  <c r="AD16" i="5"/>
  <c r="AB15" i="5"/>
  <c r="Y16" i="5"/>
  <c r="X16" i="5"/>
  <c r="V16" i="5"/>
  <c r="W15" i="5" s="1"/>
  <c r="R16" i="5"/>
  <c r="AD15" i="5"/>
  <c r="AB14" i="5"/>
  <c r="Y15" i="5"/>
  <c r="X15" i="5"/>
  <c r="V15" i="5"/>
  <c r="W14" i="5" s="1"/>
  <c r="R15" i="5"/>
  <c r="AB13" i="5"/>
  <c r="Y14" i="5"/>
  <c r="X14" i="5"/>
  <c r="V14" i="5"/>
  <c r="W13" i="5" s="1"/>
  <c r="T14" i="5"/>
  <c r="R14" i="5"/>
  <c r="AB12" i="5"/>
  <c r="Y13" i="5"/>
  <c r="X13" i="5"/>
  <c r="V13" i="5"/>
  <c r="W12" i="5" s="1"/>
  <c r="T13" i="5"/>
  <c r="AD13" i="5" s="1"/>
  <c r="R13" i="5"/>
  <c r="AB11" i="5"/>
  <c r="Y12" i="5"/>
  <c r="X12" i="5"/>
  <c r="V12" i="5"/>
  <c r="W11" i="5" s="1"/>
  <c r="T12" i="5"/>
  <c r="AD12" i="5" s="1"/>
  <c r="R12" i="5"/>
  <c r="AB10" i="5"/>
  <c r="Y11" i="5"/>
  <c r="X11" i="5"/>
  <c r="V11" i="5"/>
  <c r="W10" i="5" s="1"/>
  <c r="T11" i="5"/>
  <c r="AD11" i="5" s="1"/>
  <c r="R11" i="5"/>
  <c r="Y10" i="5"/>
  <c r="T10" i="5"/>
  <c r="AD10" i="5" s="1"/>
  <c r="R10" i="5"/>
  <c r="F15" i="5" l="1"/>
  <c r="H15" i="5" s="1"/>
  <c r="J15" i="5" s="1"/>
  <c r="F16" i="3" s="1"/>
  <c r="F9" i="5"/>
  <c r="H9" i="5" s="1"/>
  <c r="J9" i="5" s="1"/>
  <c r="F12" i="3" s="1"/>
  <c r="F10" i="5"/>
  <c r="H10" i="5" s="1"/>
  <c r="J10" i="5" s="1"/>
  <c r="F13" i="3" s="1"/>
  <c r="AD14" i="5"/>
  <c r="E5" i="5"/>
  <c r="F5" i="5" s="1"/>
  <c r="H5" i="5" s="1"/>
  <c r="AA35" i="5"/>
  <c r="AB34" i="5" s="1"/>
  <c r="I5" i="5"/>
  <c r="R39" i="5"/>
  <c r="R36" i="5"/>
  <c r="R32" i="5"/>
  <c r="R35" i="5"/>
  <c r="R31" i="5"/>
  <c r="R30" i="5"/>
  <c r="R34" i="5"/>
  <c r="R38" i="5"/>
  <c r="R33" i="5"/>
  <c r="R37" i="5"/>
  <c r="B8" i="5"/>
  <c r="X40" i="5"/>
  <c r="J5" i="5" l="1"/>
  <c r="F10" i="3" s="1"/>
  <c r="D17" i="3"/>
  <c r="G8" i="5" l="1"/>
  <c r="C8" i="5"/>
  <c r="D8" i="5" s="1"/>
  <c r="E8" i="5"/>
  <c r="F8" i="5" l="1"/>
  <c r="H8" i="5" s="1"/>
  <c r="J8" i="5" l="1"/>
  <c r="F11" i="3" s="1"/>
  <c r="F15" i="3" l="1"/>
  <c r="F17" i="3" s="1"/>
  <c r="F18" i="3" s="1"/>
</calcChain>
</file>

<file path=xl/comments1.xml><?xml version="1.0" encoding="utf-8"?>
<comments xmlns="http://schemas.openxmlformats.org/spreadsheetml/2006/main">
  <authors>
    <author>SAM - RWB</author>
    <author>Samantha Espinosa</author>
  </authors>
  <commentList>
    <comment ref="F2" authorId="0">
      <text>
        <r>
          <rPr>
            <b/>
            <sz val="9"/>
            <color indexed="81"/>
            <rFont val="Tahoma"/>
            <family val="2"/>
          </rPr>
          <t>SAM - RWB:</t>
        </r>
        <r>
          <rPr>
            <sz val="9"/>
            <color indexed="81"/>
            <rFont val="Tahoma"/>
            <family val="2"/>
          </rPr>
          <t xml:space="preserve">
Rellenar manualmente
(Sólo modificar al año actual)</t>
        </r>
      </text>
    </comment>
    <comment ref="D5" authorId="0">
      <text>
        <r>
          <rPr>
            <b/>
            <sz val="9"/>
            <color indexed="81"/>
            <rFont val="Tahoma"/>
            <family val="2"/>
          </rPr>
          <t>SAM - RWB:</t>
        </r>
        <r>
          <rPr>
            <sz val="9"/>
            <color indexed="81"/>
            <rFont val="Tahoma"/>
            <family val="2"/>
          </rPr>
          <t xml:space="preserve">
Rellenar manualmente</t>
        </r>
      </text>
    </comment>
    <comment ref="E5" authorId="1">
      <text>
        <r>
          <rPr>
            <b/>
            <sz val="9"/>
            <color indexed="81"/>
            <rFont val="Tahoma"/>
            <family val="2"/>
          </rPr>
          <t>Sam - RWB: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>S</t>
        </r>
        <r>
          <rPr>
            <sz val="9"/>
            <color indexed="81"/>
            <rFont val="Tahoma"/>
            <family val="2"/>
          </rPr>
          <t xml:space="preserve">alario
</t>
        </r>
        <r>
          <rPr>
            <b/>
            <sz val="9"/>
            <color indexed="81"/>
            <rFont val="Tahoma"/>
            <family val="2"/>
          </rPr>
          <t>D</t>
        </r>
        <r>
          <rPr>
            <sz val="9"/>
            <color indexed="81"/>
            <rFont val="Tahoma"/>
            <family val="2"/>
          </rPr>
          <t>iario</t>
        </r>
      </text>
    </comment>
    <comment ref="F5" authorId="0">
      <text>
        <r>
          <rPr>
            <b/>
            <sz val="9"/>
            <color indexed="81"/>
            <rFont val="Tahoma"/>
            <family val="2"/>
          </rPr>
          <t>SAM - RWB:</t>
        </r>
        <r>
          <rPr>
            <sz val="9"/>
            <color indexed="81"/>
            <rFont val="Tahoma"/>
            <family val="2"/>
          </rPr>
          <t xml:space="preserve">
Rellenar manualmente</t>
        </r>
      </text>
    </comment>
    <comment ref="D6" authorId="0">
      <text>
        <r>
          <rPr>
            <b/>
            <sz val="9"/>
            <color indexed="81"/>
            <rFont val="Tahoma"/>
            <family val="2"/>
          </rPr>
          <t>SAM - RWB:</t>
        </r>
        <r>
          <rPr>
            <sz val="9"/>
            <color indexed="81"/>
            <rFont val="Tahoma"/>
            <family val="2"/>
          </rPr>
          <t xml:space="preserve">
Rellenar manualmente</t>
        </r>
      </text>
    </comment>
    <comment ref="E6" authorId="1">
      <text>
        <r>
          <rPr>
            <b/>
            <sz val="8"/>
            <color indexed="81"/>
            <rFont val="Tahoma"/>
            <family val="2"/>
          </rPr>
          <t>Sam - RWB:
S</t>
        </r>
        <r>
          <rPr>
            <sz val="8"/>
            <color indexed="81"/>
            <rFont val="Tahoma"/>
            <family val="2"/>
          </rPr>
          <t xml:space="preserve">alarío
</t>
        </r>
        <r>
          <rPr>
            <b/>
            <sz val="8"/>
            <color indexed="81"/>
            <rFont val="Tahoma"/>
            <family val="2"/>
          </rPr>
          <t>M</t>
        </r>
        <r>
          <rPr>
            <sz val="8"/>
            <color indexed="81"/>
            <rFont val="Tahoma"/>
            <family val="2"/>
          </rPr>
          <t xml:space="preserve">ínimo
</t>
        </r>
        <r>
          <rPr>
            <b/>
            <sz val="8"/>
            <color indexed="81"/>
            <rFont val="Tahoma"/>
            <family val="2"/>
          </rPr>
          <t>Z</t>
        </r>
        <r>
          <rPr>
            <sz val="8"/>
            <color indexed="81"/>
            <rFont val="Tahoma"/>
            <family val="2"/>
          </rPr>
          <t>ona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6" authorId="0">
      <text>
        <r>
          <rPr>
            <b/>
            <sz val="9"/>
            <color indexed="81"/>
            <rFont val="Tahoma"/>
            <family val="2"/>
          </rPr>
          <t>SAM - RWB:</t>
        </r>
        <r>
          <rPr>
            <sz val="9"/>
            <color indexed="81"/>
            <rFont val="Tahoma"/>
            <family val="2"/>
          </rPr>
          <t xml:space="preserve">
Rellenar manualmente</t>
        </r>
      </text>
    </comment>
    <comment ref="E7" authorId="1">
      <text>
        <r>
          <rPr>
            <b/>
            <sz val="9"/>
            <color indexed="81"/>
            <rFont val="Tahoma"/>
            <family val="2"/>
          </rPr>
          <t>Sam - RWB: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>D</t>
        </r>
        <r>
          <rPr>
            <sz val="9"/>
            <color indexed="81"/>
            <rFont val="Tahoma"/>
            <family val="2"/>
          </rPr>
          <t xml:space="preserve">ías
</t>
        </r>
        <r>
          <rPr>
            <b/>
            <sz val="9"/>
            <color indexed="81"/>
            <rFont val="Tahoma"/>
            <family val="2"/>
          </rPr>
          <t>L</t>
        </r>
        <r>
          <rPr>
            <sz val="9"/>
            <color indexed="81"/>
            <rFont val="Tahoma"/>
            <family val="2"/>
          </rPr>
          <t xml:space="preserve">aborados
</t>
        </r>
        <r>
          <rPr>
            <b/>
            <sz val="9"/>
            <color indexed="81"/>
            <rFont val="Tahoma"/>
            <family val="2"/>
          </rPr>
          <t>D</t>
        </r>
        <r>
          <rPr>
            <sz val="9"/>
            <color indexed="81"/>
            <rFont val="Tahoma"/>
            <family val="2"/>
          </rPr>
          <t xml:space="preserve">el
</t>
        </r>
        <r>
          <rPr>
            <b/>
            <sz val="9"/>
            <color indexed="81"/>
            <rFont val="Tahoma"/>
            <family val="2"/>
          </rPr>
          <t>A</t>
        </r>
        <r>
          <rPr>
            <sz val="9"/>
            <color indexed="81"/>
            <rFont val="Tahoma"/>
            <family val="2"/>
          </rPr>
          <t>ño</t>
        </r>
      </text>
    </comment>
    <comment ref="C10" authorId="0">
      <text>
        <r>
          <rPr>
            <b/>
            <sz val="9"/>
            <color indexed="81"/>
            <rFont val="Tahoma"/>
            <family val="2"/>
          </rPr>
          <t>SAM - RWB:</t>
        </r>
        <r>
          <rPr>
            <sz val="9"/>
            <color indexed="81"/>
            <rFont val="Tahoma"/>
            <family val="2"/>
          </rPr>
          <t xml:space="preserve">
Total de días laborados durante la quincena.</t>
        </r>
      </text>
    </comment>
    <comment ref="C11" authorId="0">
      <text>
        <r>
          <rPr>
            <b/>
            <sz val="9"/>
            <color indexed="81"/>
            <rFont val="Tahoma"/>
            <family val="2"/>
          </rPr>
          <t>SAM - RWB:</t>
        </r>
        <r>
          <rPr>
            <sz val="9"/>
            <color indexed="81"/>
            <rFont val="Tahoma"/>
            <family val="2"/>
          </rPr>
          <t xml:space="preserve">
Total de días de vacaciones </t>
        </r>
        <r>
          <rPr>
            <b/>
            <sz val="9"/>
            <color indexed="81"/>
            <rFont val="Tahoma"/>
            <family val="2"/>
          </rPr>
          <t xml:space="preserve">NO </t>
        </r>
        <r>
          <rPr>
            <sz val="9"/>
            <color indexed="81"/>
            <rFont val="Tahoma"/>
            <family val="2"/>
          </rPr>
          <t>disfrutadas</t>
        </r>
      </text>
    </comment>
    <comment ref="C12" authorId="0">
      <text>
        <r>
          <rPr>
            <b/>
            <sz val="9"/>
            <color indexed="81"/>
            <rFont val="Tahoma"/>
            <family val="2"/>
          </rPr>
          <t>SAM - RWB:</t>
        </r>
        <r>
          <rPr>
            <sz val="9"/>
            <color indexed="81"/>
            <rFont val="Tahoma"/>
            <family val="2"/>
          </rPr>
          <t xml:space="preserve">
Total de días de vacaciones </t>
        </r>
        <r>
          <rPr>
            <b/>
            <sz val="9"/>
            <color indexed="81"/>
            <rFont val="Tahoma"/>
            <family val="2"/>
          </rPr>
          <t xml:space="preserve">NO </t>
        </r>
        <r>
          <rPr>
            <sz val="9"/>
            <color indexed="81"/>
            <rFont val="Tahoma"/>
            <family val="2"/>
          </rPr>
          <t>disfrutadas</t>
        </r>
      </text>
    </comment>
    <comment ref="B14" authorId="1">
      <text>
        <r>
          <rPr>
            <b/>
            <sz val="9"/>
            <color indexed="81"/>
            <rFont val="Tahoma"/>
            <family val="2"/>
          </rPr>
          <t>Sam - RWB:</t>
        </r>
        <r>
          <rPr>
            <sz val="9"/>
            <color indexed="81"/>
            <rFont val="Tahoma"/>
            <family val="2"/>
          </rPr>
          <t xml:space="preserve">
Sólo se paga en caso de que no hayas incurrido a las causales marcadas
 en el art. 47 LFT</t>
        </r>
      </text>
    </comment>
    <comment ref="B15" authorId="1">
      <text>
        <r>
          <rPr>
            <b/>
            <sz val="9"/>
            <color indexed="81"/>
            <rFont val="Tahoma"/>
            <family val="2"/>
          </rPr>
          <t>Sam - RWB:</t>
        </r>
        <r>
          <rPr>
            <sz val="9"/>
            <color indexed="81"/>
            <rFont val="Tahoma"/>
            <family val="2"/>
          </rPr>
          <t xml:space="preserve">
Art. 162 
Fracc. I, II y  III. </t>
        </r>
      </text>
    </comment>
    <comment ref="B16" authorId="1">
      <text>
        <r>
          <rPr>
            <b/>
            <sz val="9"/>
            <color indexed="81"/>
            <rFont val="Tahoma"/>
            <family val="2"/>
          </rPr>
          <t>Sam - RWB:</t>
        </r>
        <r>
          <rPr>
            <sz val="9"/>
            <color indexed="81"/>
            <rFont val="Tahoma"/>
            <family val="2"/>
          </rPr>
          <t xml:space="preserve">
Sólo en los casos que marca el art. 49 y 439</t>
        </r>
      </text>
    </comment>
  </commentList>
</comments>
</file>

<file path=xl/sharedStrings.xml><?xml version="1.0" encoding="utf-8"?>
<sst xmlns="http://schemas.openxmlformats.org/spreadsheetml/2006/main" count="143" uniqueCount="75">
  <si>
    <t>SD</t>
  </si>
  <si>
    <t>Fecha de ingreso</t>
  </si>
  <si>
    <t>Suma Percepciones</t>
  </si>
  <si>
    <t>Suma deducciones</t>
  </si>
  <si>
    <t>Neto a pagar</t>
  </si>
  <si>
    <t>Concepto</t>
  </si>
  <si>
    <t>Importe</t>
  </si>
  <si>
    <t>Salario</t>
  </si>
  <si>
    <t>Prima De Antigüedad</t>
  </si>
  <si>
    <t>Aguinaldo</t>
  </si>
  <si>
    <t>PERCEPCIONES</t>
  </si>
  <si>
    <t>DEDUCIONES</t>
  </si>
  <si>
    <t>la cantidad neta a que este documento</t>
  </si>
  <si>
    <t>se refiere, estando conforme con las</t>
  </si>
  <si>
    <t>percepciones y deducciones que en el</t>
  </si>
  <si>
    <t>aparecen especificados.</t>
  </si>
  <si>
    <t>Firma del Empleado</t>
  </si>
  <si>
    <t>Recibí de la empresa arriba mencionada,</t>
  </si>
  <si>
    <t>20 Días por año</t>
  </si>
  <si>
    <t>Fecha de baja</t>
  </si>
  <si>
    <t>Ingresos Grav.</t>
  </si>
  <si>
    <t>Lim. Inf.</t>
  </si>
  <si>
    <t>Exc. S/L. I.</t>
  </si>
  <si>
    <t>% Exc. S/L. I.</t>
  </si>
  <si>
    <t>ISR Marginal</t>
  </si>
  <si>
    <t>Cuota Fija</t>
  </si>
  <si>
    <t>Impuesto</t>
  </si>
  <si>
    <t>SAE</t>
  </si>
  <si>
    <t>ISR o (CAS)</t>
  </si>
  <si>
    <t>MENSUAL</t>
  </si>
  <si>
    <t>QUINCENAL</t>
  </si>
  <si>
    <t>CATORCENAL</t>
  </si>
  <si>
    <t>SEMANAL</t>
  </si>
  <si>
    <t xml:space="preserve">TARIFA ISR </t>
  </si>
  <si>
    <t>LIMITE</t>
  </si>
  <si>
    <t>CUOTA</t>
  </si>
  <si>
    <t>% SOBRE</t>
  </si>
  <si>
    <t>INFERIOR</t>
  </si>
  <si>
    <t>SUPERIOR</t>
  </si>
  <si>
    <t>FIJA</t>
  </si>
  <si>
    <t>EXCEDENTE</t>
  </si>
  <si>
    <t>999999.00 </t>
  </si>
  <si>
    <t>TARIFA SUBSIDIO PARA EL EMPLEO</t>
  </si>
  <si>
    <t xml:space="preserve">PARA </t>
  </si>
  <si>
    <t>HASTA</t>
  </si>
  <si>
    <t>SUBSIDIO</t>
  </si>
  <si>
    <t>CREDITO</t>
  </si>
  <si>
    <t>ING DE</t>
  </si>
  <si>
    <t>AL EMPLEO</t>
  </si>
  <si>
    <t>SALARIO</t>
  </si>
  <si>
    <t>ISR SALARIOS</t>
  </si>
  <si>
    <t>3 Meses</t>
  </si>
  <si>
    <t>I.S.R. (SALARIO)</t>
  </si>
  <si>
    <t xml:space="preserve">Prima de vacaciones </t>
  </si>
  <si>
    <t>FINIQUITO</t>
  </si>
  <si>
    <t>DLDA</t>
  </si>
  <si>
    <t>SMZ ^ 2</t>
  </si>
  <si>
    <t xml:space="preserve">UMA: </t>
  </si>
  <si>
    <t xml:space="preserve">CALCULO DE I. S. R. </t>
  </si>
  <si>
    <t>ISR PV (15 UMAS)</t>
  </si>
  <si>
    <t>ISR AGUINALDO (30 UMAS)</t>
  </si>
  <si>
    <t>ISR 90 DIAS (90 UMAS)</t>
  </si>
  <si>
    <t>ISR PRIMA ANT (90 UMAS)</t>
  </si>
  <si>
    <t>20 DIAS (90 UMAS)</t>
  </si>
  <si>
    <t>15 UMAS</t>
  </si>
  <si>
    <t>30 UMAS</t>
  </si>
  <si>
    <t>90 UMAS</t>
  </si>
  <si>
    <t xml:space="preserve">ISR VACACIONES </t>
  </si>
  <si>
    <t>Vacaciones</t>
  </si>
  <si>
    <t>ISR (AGUINALDO)</t>
  </si>
  <si>
    <t>ISR (VACACIONES)</t>
  </si>
  <si>
    <t>ISR (PRIMA VAC)</t>
  </si>
  <si>
    <t>ISR (PRIMA ANT)</t>
  </si>
  <si>
    <t>ISR (INDEMNIZACION)</t>
  </si>
  <si>
    <t>ISR (20 DÍAS)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</si>
</sst>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.000"/>
  </numFmts>
  <fonts count="3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4"/>
      <name val="Times New Roman"/>
      <family val="1"/>
    </font>
    <font>
      <sz val="10"/>
      <name val="Arial"/>
      <family val="2"/>
    </font>
    <font>
      <sz val="9"/>
      <name val="Times New Roman"/>
      <family val="1"/>
    </font>
    <font>
      <sz val="10"/>
      <color rgb="FF000000"/>
      <name val="Arial"/>
      <family val="2"/>
    </font>
    <font>
      <sz val="8"/>
      <color theme="1"/>
      <name val="Arial"/>
      <family val="2"/>
    </font>
    <font>
      <sz val="11"/>
      <color theme="1"/>
      <name val="MS Reference Sans Serif"/>
      <family val="2"/>
    </font>
    <font>
      <sz val="11"/>
      <color rgb="FFF5F5F5"/>
      <name val="Bahnschrift Light"/>
      <family val="2"/>
    </font>
    <font>
      <sz val="10"/>
      <color rgb="FF0F1626"/>
      <name val="Bahnschrift Light"/>
      <family val="2"/>
    </font>
    <font>
      <sz val="11"/>
      <color rgb="FF0F1626"/>
      <name val="Calibri"/>
      <family val="2"/>
      <scheme val="minor"/>
    </font>
    <font>
      <sz val="11"/>
      <color rgb="FF0F1626"/>
      <name val="MS Reference Sans Serif"/>
      <family val="2"/>
    </font>
    <font>
      <b/>
      <sz val="14"/>
      <color rgb="FFF5F5F5"/>
      <name val="MS Reference Sans Serif"/>
      <family val="2"/>
    </font>
    <font>
      <b/>
      <sz val="14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Bahnschrift Light"/>
      <family val="2"/>
    </font>
    <font>
      <b/>
      <sz val="11"/>
      <color rgb="FFF5F5F5"/>
      <name val="Calibri"/>
      <family val="2"/>
      <scheme val="minor"/>
    </font>
    <font>
      <sz val="11"/>
      <color rgb="FF0F1626"/>
      <name val="MV Boli"/>
    </font>
    <font>
      <sz val="11"/>
      <color rgb="FFF7C331"/>
      <name val="Bahnschrift Light"/>
      <family val="2"/>
    </font>
    <font>
      <sz val="10"/>
      <color rgb="FFF7C331"/>
      <name val="Bahnschrift Light"/>
      <family val="2"/>
    </font>
    <font>
      <b/>
      <sz val="10"/>
      <color theme="1"/>
      <name val="Bahnschrift Light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10"/>
      <name val="MS Reference Sans Serif"/>
      <family val="2"/>
    </font>
    <font>
      <sz val="9"/>
      <name val="MS Reference Sans Serif"/>
      <family val="2"/>
    </font>
    <font>
      <b/>
      <sz val="12"/>
      <color indexed="10"/>
      <name val="Bahnschrift"/>
      <family val="2"/>
    </font>
    <font>
      <sz val="9"/>
      <name val="Bahnschrift"/>
      <family val="2"/>
    </font>
    <font>
      <sz val="10"/>
      <name val="Bahnschrift"/>
      <family val="2"/>
    </font>
    <font>
      <b/>
      <sz val="9"/>
      <name val="Bahnschrift"/>
      <family val="2"/>
    </font>
    <font>
      <b/>
      <sz val="12"/>
      <color indexed="10"/>
      <name val="MS Reference Sans Serif"/>
      <family val="2"/>
    </font>
    <font>
      <sz val="9"/>
      <color rgb="FF0F1626"/>
      <name val="Bahnschrift"/>
      <family val="2"/>
    </font>
    <font>
      <sz val="10"/>
      <color rgb="FF0F1626"/>
      <name val="MS Reference Sans Serif"/>
      <family val="2"/>
    </font>
    <font>
      <sz val="9"/>
      <color theme="0"/>
      <name val="MS Reference Sans Serif"/>
      <family val="2"/>
    </font>
    <font>
      <b/>
      <sz val="10"/>
      <name val="MS Reference Sans Serif"/>
      <family val="2"/>
    </font>
    <font>
      <b/>
      <sz val="14"/>
      <name val="MS Reference Sans Serif"/>
      <family val="2"/>
    </font>
    <font>
      <b/>
      <sz val="10"/>
      <color rgb="FF0F1626"/>
      <name val="Arial"/>
      <family val="2"/>
    </font>
    <font>
      <sz val="11"/>
      <color rgb="FF0F1626"/>
      <name val="Bahnschrift Light"/>
      <family val="2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6B7A8F"/>
        <bgColor indexed="64"/>
      </patternFill>
    </fill>
    <fill>
      <patternFill patternType="solid">
        <fgColor rgb="FFF7882F"/>
        <bgColor indexed="64"/>
      </patternFill>
    </fill>
    <fill>
      <patternFill patternType="solid">
        <fgColor rgb="FFF7C331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0F1626"/>
        <bgColor indexed="64"/>
      </patternFill>
    </fill>
    <fill>
      <patternFill patternType="solid">
        <fgColor rgb="FFAB987A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rgb="FFAB987A"/>
      </left>
      <right style="thick">
        <color rgb="FFAB987A"/>
      </right>
      <top style="thick">
        <color rgb="FFAB987A"/>
      </top>
      <bottom style="thick">
        <color rgb="FFAB987A"/>
      </bottom>
      <diagonal/>
    </border>
    <border>
      <left style="thin">
        <color rgb="FF6B7A8F"/>
      </left>
      <right style="thin">
        <color rgb="FF6B7A8F"/>
      </right>
      <top style="thin">
        <color rgb="FF6B7A8F"/>
      </top>
      <bottom style="thin">
        <color rgb="FF6B7A8F"/>
      </bottom>
      <diagonal/>
    </border>
    <border>
      <left style="thin">
        <color rgb="FF6B7A8F"/>
      </left>
      <right/>
      <top style="thin">
        <color rgb="FF6B7A8F"/>
      </top>
      <bottom style="thin">
        <color rgb="FF6B7A8F"/>
      </bottom>
      <diagonal/>
    </border>
    <border>
      <left/>
      <right/>
      <top style="thin">
        <color rgb="FF6B7A8F"/>
      </top>
      <bottom style="thin">
        <color rgb="FF6B7A8F"/>
      </bottom>
      <diagonal/>
    </border>
    <border>
      <left/>
      <right style="thin">
        <color rgb="FF6B7A8F"/>
      </right>
      <top style="thin">
        <color rgb="FF6B7A8F"/>
      </top>
      <bottom style="thin">
        <color rgb="FF6B7A8F"/>
      </bottom>
      <diagonal/>
    </border>
    <border>
      <left style="thin">
        <color rgb="FF6B7A8F"/>
      </left>
      <right style="thin">
        <color indexed="64"/>
      </right>
      <top style="thin">
        <color rgb="FF6B7A8F"/>
      </top>
      <bottom/>
      <diagonal/>
    </border>
    <border>
      <left style="thin">
        <color indexed="64"/>
      </left>
      <right style="thin">
        <color indexed="64"/>
      </right>
      <top style="thin">
        <color rgb="FF6B7A8F"/>
      </top>
      <bottom/>
      <diagonal/>
    </border>
    <border>
      <left/>
      <right style="thin">
        <color rgb="FF6B7A8F"/>
      </right>
      <top style="thin">
        <color rgb="FF6B7A8F"/>
      </top>
      <bottom/>
      <diagonal/>
    </border>
    <border>
      <left style="thin">
        <color rgb="FF6B7A8F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6B7A8F"/>
      </right>
      <top/>
      <bottom style="thin">
        <color indexed="64"/>
      </bottom>
      <diagonal/>
    </border>
    <border>
      <left style="thin">
        <color rgb="FF6B7A8F"/>
      </left>
      <right/>
      <top/>
      <bottom/>
      <diagonal/>
    </border>
    <border>
      <left/>
      <right style="thin">
        <color rgb="FF6B7A8F"/>
      </right>
      <top/>
      <bottom/>
      <diagonal/>
    </border>
    <border>
      <left style="thin">
        <color rgb="FF6B7A8F"/>
      </left>
      <right/>
      <top/>
      <bottom style="thin">
        <color rgb="FF6B7A8F"/>
      </bottom>
      <diagonal/>
    </border>
    <border>
      <left/>
      <right/>
      <top/>
      <bottom style="thin">
        <color rgb="FF6B7A8F"/>
      </bottom>
      <diagonal/>
    </border>
    <border>
      <left/>
      <right style="thin">
        <color rgb="FF6B7A8F"/>
      </right>
      <top/>
      <bottom style="thin">
        <color rgb="FF6B7A8F"/>
      </bottom>
      <diagonal/>
    </border>
    <border>
      <left style="thick">
        <color rgb="FFAB987A"/>
      </left>
      <right style="thick">
        <color rgb="FFAB987A"/>
      </right>
      <top/>
      <bottom/>
      <diagonal/>
    </border>
    <border>
      <left/>
      <right/>
      <top/>
      <bottom style="thick">
        <color rgb="FFAB987A"/>
      </bottom>
      <diagonal/>
    </border>
    <border>
      <left style="thin">
        <color theme="4"/>
      </left>
      <right/>
      <top/>
      <bottom/>
      <diagonal/>
    </border>
  </borders>
  <cellStyleXfs count="8">
    <xf numFmtId="0" fontId="0" fillId="0" borderId="0"/>
    <xf numFmtId="44" fontId="1" fillId="0" borderId="0" applyFont="0" applyFill="0" applyBorder="0" applyAlignment="0" applyProtection="0"/>
    <xf numFmtId="0" fontId="2" fillId="0" borderId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4" fontId="4" fillId="0" borderId="0" applyFont="0" applyFill="0" applyBorder="0" applyAlignment="0" applyProtection="0"/>
  </cellStyleXfs>
  <cellXfs count="153">
    <xf numFmtId="0" fontId="0" fillId="0" borderId="0" xfId="0"/>
    <xf numFmtId="44" fontId="0" fillId="0" borderId="0" xfId="1" applyFont="1"/>
    <xf numFmtId="0" fontId="3" fillId="0" borderId="0" xfId="2" applyFont="1"/>
    <xf numFmtId="0" fontId="5" fillId="0" borderId="0" xfId="3" applyNumberFormat="1" applyFont="1"/>
    <xf numFmtId="0" fontId="5" fillId="0" borderId="0" xfId="3" applyFont="1"/>
    <xf numFmtId="0" fontId="4" fillId="0" borderId="0" xfId="3"/>
    <xf numFmtId="4" fontId="2" fillId="0" borderId="0" xfId="2" applyNumberFormat="1" applyFill="1"/>
    <xf numFmtId="43" fontId="4" fillId="0" borderId="0" xfId="3" applyNumberFormat="1"/>
    <xf numFmtId="0" fontId="7" fillId="0" borderId="0" xfId="6" applyFont="1" applyAlignment="1">
      <alignment horizontal="right" vertical="center" wrapText="1"/>
    </xf>
    <xf numFmtId="4" fontId="7" fillId="0" borderId="0" xfId="6" applyNumberFormat="1" applyFont="1" applyAlignment="1">
      <alignment horizontal="right" vertical="center" wrapText="1"/>
    </xf>
    <xf numFmtId="4" fontId="4" fillId="0" borderId="0" xfId="3" applyNumberFormat="1"/>
    <xf numFmtId="44" fontId="8" fillId="4" borderId="0" xfId="1" applyFont="1" applyFill="1" applyBorder="1"/>
    <xf numFmtId="0" fontId="17" fillId="0" borderId="0" xfId="0" applyFont="1" applyBorder="1"/>
    <xf numFmtId="44" fontId="17" fillId="0" borderId="0" xfId="1" applyFont="1" applyBorder="1"/>
    <xf numFmtId="44" fontId="0" fillId="5" borderId="0" xfId="1" applyFont="1" applyFill="1" applyBorder="1"/>
    <xf numFmtId="0" fontId="12" fillId="5" borderId="0" xfId="0" applyFont="1" applyFill="1" applyBorder="1" applyAlignment="1">
      <alignment horizontal="center"/>
    </xf>
    <xf numFmtId="44" fontId="18" fillId="5" borderId="0" xfId="1" applyFont="1" applyFill="1" applyBorder="1"/>
    <xf numFmtId="44" fontId="18" fillId="4" borderId="0" xfId="1" applyFont="1" applyFill="1" applyBorder="1"/>
    <xf numFmtId="0" fontId="19" fillId="6" borderId="0" xfId="0" applyFont="1" applyFill="1"/>
    <xf numFmtId="44" fontId="19" fillId="6" borderId="0" xfId="1" applyFont="1" applyFill="1"/>
    <xf numFmtId="0" fontId="19" fillId="6" borderId="2" xfId="0" applyFont="1" applyFill="1" applyBorder="1" applyAlignment="1">
      <alignment horizontal="center"/>
    </xf>
    <xf numFmtId="0" fontId="0" fillId="6" borderId="0" xfId="0" applyFill="1"/>
    <xf numFmtId="44" fontId="0" fillId="6" borderId="0" xfId="1" applyFont="1" applyFill="1"/>
    <xf numFmtId="0" fontId="0" fillId="6" borderId="0" xfId="0" applyFill="1" applyBorder="1"/>
    <xf numFmtId="0" fontId="11" fillId="6" borderId="0" xfId="0" applyFont="1" applyFill="1" applyBorder="1"/>
    <xf numFmtId="44" fontId="11" fillId="6" borderId="0" xfId="1" applyFont="1" applyFill="1" applyBorder="1"/>
    <xf numFmtId="0" fontId="20" fillId="7" borderId="0" xfId="0" applyFont="1" applyFill="1" applyBorder="1"/>
    <xf numFmtId="14" fontId="21" fillId="7" borderId="0" xfId="0" applyNumberFormat="1" applyFont="1" applyFill="1" applyBorder="1" applyAlignment="1">
      <alignment horizontal="right" wrapText="1"/>
    </xf>
    <xf numFmtId="14" fontId="10" fillId="7" borderId="0" xfId="0" applyNumberFormat="1" applyFont="1" applyFill="1" applyBorder="1" applyAlignment="1">
      <alignment horizontal="right" wrapText="1"/>
    </xf>
    <xf numFmtId="0" fontId="9" fillId="7" borderId="0" xfId="0" applyFont="1" applyFill="1" applyBorder="1"/>
    <xf numFmtId="0" fontId="9" fillId="7" borderId="2" xfId="0" applyFont="1" applyFill="1" applyBorder="1"/>
    <xf numFmtId="2" fontId="9" fillId="7" borderId="0" xfId="1" applyNumberFormat="1" applyFont="1" applyFill="1" applyBorder="1"/>
    <xf numFmtId="0" fontId="25" fillId="0" borderId="0" xfId="3" applyFont="1"/>
    <xf numFmtId="4" fontId="25" fillId="0" borderId="0" xfId="2" applyNumberFormat="1" applyFont="1" applyFill="1"/>
    <xf numFmtId="10" fontId="25" fillId="0" borderId="0" xfId="2" applyNumberFormat="1" applyFont="1" applyFill="1"/>
    <xf numFmtId="4" fontId="26" fillId="0" borderId="1" xfId="3" applyNumberFormat="1" applyFont="1" applyFill="1" applyBorder="1"/>
    <xf numFmtId="43" fontId="25" fillId="0" borderId="1" xfId="4" applyFont="1" applyFill="1" applyBorder="1"/>
    <xf numFmtId="4" fontId="25" fillId="0" borderId="1" xfId="2" applyNumberFormat="1" applyFont="1" applyFill="1" applyBorder="1"/>
    <xf numFmtId="10" fontId="25" fillId="0" borderId="1" xfId="5" applyNumberFormat="1" applyFont="1" applyFill="1" applyBorder="1"/>
    <xf numFmtId="4" fontId="25" fillId="0" borderId="1" xfId="5" applyNumberFormat="1" applyFont="1" applyFill="1" applyBorder="1"/>
    <xf numFmtId="43" fontId="25" fillId="0" borderId="0" xfId="4" applyFont="1"/>
    <xf numFmtId="0" fontId="27" fillId="0" borderId="0" xfId="3" applyFont="1"/>
    <xf numFmtId="0" fontId="28" fillId="0" borderId="0" xfId="3" applyNumberFormat="1" applyFont="1" applyAlignment="1">
      <alignment horizontal="centerContinuous"/>
    </xf>
    <xf numFmtId="0" fontId="29" fillId="0" borderId="0" xfId="6" applyFont="1"/>
    <xf numFmtId="0" fontId="28" fillId="0" borderId="0" xfId="3" applyNumberFormat="1" applyFont="1"/>
    <xf numFmtId="0" fontId="28" fillId="0" borderId="0" xfId="3" applyFont="1"/>
    <xf numFmtId="0" fontId="29" fillId="0" borderId="0" xfId="3" applyFont="1"/>
    <xf numFmtId="0" fontId="30" fillId="0" borderId="0" xfId="3" applyNumberFormat="1" applyFont="1"/>
    <xf numFmtId="0" fontId="28" fillId="0" borderId="9" xfId="3" applyNumberFormat="1" applyFont="1" applyBorder="1" applyAlignment="1">
      <alignment horizontal="center"/>
    </xf>
    <xf numFmtId="0" fontId="28" fillId="0" borderId="3" xfId="3" applyNumberFormat="1" applyFont="1" applyBorder="1" applyAlignment="1">
      <alignment horizontal="center"/>
    </xf>
    <xf numFmtId="0" fontId="28" fillId="0" borderId="0" xfId="3" applyNumberFormat="1" applyFont="1" applyBorder="1" applyAlignment="1">
      <alignment horizontal="center"/>
    </xf>
    <xf numFmtId="0" fontId="28" fillId="0" borderId="10" xfId="3" applyNumberFormat="1" applyFont="1" applyBorder="1" applyAlignment="1">
      <alignment horizontal="center"/>
    </xf>
    <xf numFmtId="0" fontId="28" fillId="0" borderId="8" xfId="3" applyNumberFormat="1" applyFont="1" applyBorder="1" applyAlignment="1">
      <alignment horizontal="center"/>
    </xf>
    <xf numFmtId="0" fontId="28" fillId="0" borderId="4" xfId="3" applyNumberFormat="1" applyFont="1" applyBorder="1"/>
    <xf numFmtId="0" fontId="28" fillId="0" borderId="0" xfId="3" applyNumberFormat="1" applyFont="1" applyBorder="1"/>
    <xf numFmtId="0" fontId="28" fillId="0" borderId="5" xfId="3" applyNumberFormat="1" applyFont="1" applyBorder="1"/>
    <xf numFmtId="39" fontId="28" fillId="0" borderId="0" xfId="3" applyNumberFormat="1" applyFont="1" applyBorder="1"/>
    <xf numFmtId="10" fontId="28" fillId="0" borderId="5" xfId="5" applyNumberFormat="1" applyFont="1" applyBorder="1" applyAlignment="1">
      <alignment horizontal="center"/>
    </xf>
    <xf numFmtId="9" fontId="28" fillId="0" borderId="0" xfId="5" applyFont="1" applyBorder="1" applyAlignment="1">
      <alignment horizontal="center"/>
    </xf>
    <xf numFmtId="39" fontId="28" fillId="0" borderId="4" xfId="3" applyNumberFormat="1" applyFont="1" applyBorder="1"/>
    <xf numFmtId="39" fontId="28" fillId="0" borderId="6" xfId="3" applyNumberFormat="1" applyFont="1" applyBorder="1"/>
    <xf numFmtId="39" fontId="28" fillId="0" borderId="7" xfId="3" applyNumberFormat="1" applyFont="1" applyBorder="1"/>
    <xf numFmtId="9" fontId="28" fillId="0" borderId="8" xfId="5" applyFont="1" applyBorder="1" applyAlignment="1">
      <alignment horizontal="center"/>
    </xf>
    <xf numFmtId="39" fontId="28" fillId="0" borderId="5" xfId="3" applyNumberFormat="1" applyFont="1" applyBorder="1"/>
    <xf numFmtId="39" fontId="28" fillId="0" borderId="8" xfId="3" applyNumberFormat="1" applyFont="1" applyBorder="1"/>
    <xf numFmtId="0" fontId="31" fillId="0" borderId="0" xfId="3" applyFont="1"/>
    <xf numFmtId="0" fontId="26" fillId="0" borderId="0" xfId="3" applyNumberFormat="1" applyFont="1" applyAlignment="1">
      <alignment horizontal="centerContinuous"/>
    </xf>
    <xf numFmtId="0" fontId="25" fillId="0" borderId="0" xfId="6" applyFont="1"/>
    <xf numFmtId="0" fontId="26" fillId="0" borderId="0" xfId="3" applyNumberFormat="1" applyFont="1"/>
    <xf numFmtId="0" fontId="32" fillId="5" borderId="9" xfId="3" applyNumberFormat="1" applyFont="1" applyFill="1" applyBorder="1" applyAlignment="1">
      <alignment horizontal="center"/>
    </xf>
    <xf numFmtId="0" fontId="32" fillId="5" borderId="10" xfId="3" applyNumberFormat="1" applyFont="1" applyFill="1" applyBorder="1" applyAlignment="1">
      <alignment horizontal="center"/>
    </xf>
    <xf numFmtId="0" fontId="32" fillId="8" borderId="9" xfId="3" applyNumberFormat="1" applyFont="1" applyFill="1" applyBorder="1" applyAlignment="1">
      <alignment horizontal="center"/>
    </xf>
    <xf numFmtId="0" fontId="32" fillId="8" borderId="10" xfId="3" applyNumberFormat="1" applyFont="1" applyFill="1" applyBorder="1" applyAlignment="1">
      <alignment horizontal="center"/>
    </xf>
    <xf numFmtId="0" fontId="34" fillId="7" borderId="1" xfId="3" applyFont="1" applyFill="1" applyBorder="1"/>
    <xf numFmtId="0" fontId="35" fillId="0" borderId="12" xfId="3" applyFont="1" applyBorder="1" applyAlignment="1"/>
    <xf numFmtId="0" fontId="4" fillId="0" borderId="0" xfId="3" applyBorder="1"/>
    <xf numFmtId="44" fontId="6" fillId="2" borderId="0" xfId="7" applyFont="1" applyFill="1" applyBorder="1" applyAlignment="1">
      <alignment horizontal="right" vertical="center" wrapText="1"/>
    </xf>
    <xf numFmtId="0" fontId="7" fillId="0" borderId="0" xfId="6" applyFont="1" applyBorder="1" applyAlignment="1">
      <alignment horizontal="right" vertical="center" wrapText="1"/>
    </xf>
    <xf numFmtId="4" fontId="7" fillId="0" borderId="0" xfId="6" applyNumberFormat="1" applyFont="1" applyBorder="1" applyAlignment="1">
      <alignment horizontal="right" vertical="center" wrapText="1"/>
    </xf>
    <xf numFmtId="43" fontId="6" fillId="2" borderId="0" xfId="4" applyFont="1" applyFill="1" applyBorder="1" applyAlignment="1">
      <alignment horizontal="right" vertical="center" wrapText="1"/>
    </xf>
    <xf numFmtId="0" fontId="28" fillId="3" borderId="3" xfId="3" applyNumberFormat="1" applyFont="1" applyFill="1" applyBorder="1" applyAlignment="1">
      <alignment horizontal="center"/>
    </xf>
    <xf numFmtId="0" fontId="28" fillId="3" borderId="8" xfId="3" applyNumberFormat="1" applyFont="1" applyFill="1" applyBorder="1" applyAlignment="1">
      <alignment horizontal="center"/>
    </xf>
    <xf numFmtId="0" fontId="28" fillId="4" borderId="9" xfId="3" applyNumberFormat="1" applyFont="1" applyFill="1" applyBorder="1" applyAlignment="1">
      <alignment horizontal="center"/>
    </xf>
    <xf numFmtId="0" fontId="28" fillId="4" borderId="10" xfId="3" applyNumberFormat="1" applyFont="1" applyFill="1" applyBorder="1" applyAlignment="1">
      <alignment horizontal="center"/>
    </xf>
    <xf numFmtId="4" fontId="33" fillId="5" borderId="1" xfId="2" applyNumberFormat="1" applyFont="1" applyFill="1" applyBorder="1" applyAlignment="1">
      <alignment horizontal="center" vertical="center" wrapText="1"/>
    </xf>
    <xf numFmtId="4" fontId="33" fillId="8" borderId="1" xfId="2" applyNumberFormat="1" applyFont="1" applyFill="1" applyBorder="1" applyAlignment="1">
      <alignment horizontal="center" vertical="center" wrapText="1"/>
    </xf>
    <xf numFmtId="10" fontId="33" fillId="3" borderId="1" xfId="2" applyNumberFormat="1" applyFont="1" applyFill="1" applyBorder="1" applyAlignment="1">
      <alignment horizontal="center" vertical="center" wrapText="1"/>
    </xf>
    <xf numFmtId="4" fontId="33" fillId="4" borderId="1" xfId="2" applyNumberFormat="1" applyFont="1" applyFill="1" applyBorder="1" applyAlignment="1">
      <alignment horizontal="center" vertical="center" wrapText="1"/>
    </xf>
    <xf numFmtId="4" fontId="33" fillId="6" borderId="1" xfId="2" applyNumberFormat="1" applyFont="1" applyFill="1" applyBorder="1" applyAlignment="1">
      <alignment horizontal="center" vertical="center" wrapText="1"/>
    </xf>
    <xf numFmtId="4" fontId="33" fillId="6" borderId="1" xfId="2" applyNumberFormat="1" applyFont="1" applyFill="1" applyBorder="1" applyAlignment="1">
      <alignment horizontal="center"/>
    </xf>
    <xf numFmtId="0" fontId="32" fillId="5" borderId="16" xfId="3" applyNumberFormat="1" applyFont="1" applyFill="1" applyBorder="1" applyAlignment="1">
      <alignment horizontal="center"/>
    </xf>
    <xf numFmtId="0" fontId="32" fillId="8" borderId="17" xfId="3" applyNumberFormat="1" applyFont="1" applyFill="1" applyBorder="1" applyAlignment="1">
      <alignment horizontal="center"/>
    </xf>
    <xf numFmtId="0" fontId="28" fillId="4" borderId="17" xfId="3" applyNumberFormat="1" applyFont="1" applyFill="1" applyBorder="1" applyAlignment="1">
      <alignment horizontal="center"/>
    </xf>
    <xf numFmtId="0" fontId="28" fillId="3" borderId="18" xfId="3" applyNumberFormat="1" applyFont="1" applyFill="1" applyBorder="1" applyAlignment="1">
      <alignment horizontal="center"/>
    </xf>
    <xf numFmtId="0" fontId="32" fillId="5" borderId="19" xfId="3" applyNumberFormat="1" applyFont="1" applyFill="1" applyBorder="1" applyAlignment="1">
      <alignment horizontal="center"/>
    </xf>
    <xf numFmtId="0" fontId="28" fillId="3" borderId="20" xfId="3" applyNumberFormat="1" applyFont="1" applyFill="1" applyBorder="1" applyAlignment="1">
      <alignment horizontal="center"/>
    </xf>
    <xf numFmtId="0" fontId="28" fillId="0" borderId="21" xfId="3" applyNumberFormat="1" applyFont="1" applyBorder="1"/>
    <xf numFmtId="0" fontId="28" fillId="0" borderId="22" xfId="3" applyNumberFormat="1" applyFont="1" applyBorder="1"/>
    <xf numFmtId="39" fontId="28" fillId="0" borderId="21" xfId="3" applyNumberFormat="1" applyFont="1" applyBorder="1" applyProtection="1">
      <protection hidden="1"/>
    </xf>
    <xf numFmtId="10" fontId="28" fillId="0" borderId="22" xfId="5" applyNumberFormat="1" applyFont="1" applyBorder="1" applyAlignment="1">
      <alignment horizontal="center"/>
    </xf>
    <xf numFmtId="39" fontId="28" fillId="0" borderId="21" xfId="3" applyNumberFormat="1" applyFont="1" applyBorder="1"/>
    <xf numFmtId="39" fontId="28" fillId="0" borderId="23" xfId="3" applyNumberFormat="1" applyFont="1" applyBorder="1"/>
    <xf numFmtId="39" fontId="28" fillId="0" borderId="24" xfId="3" applyNumberFormat="1" applyFont="1" applyBorder="1"/>
    <xf numFmtId="9" fontId="28" fillId="0" borderId="25" xfId="5" applyFont="1" applyBorder="1" applyAlignment="1">
      <alignment horizontal="center"/>
    </xf>
    <xf numFmtId="0" fontId="4" fillId="0" borderId="0" xfId="3" applyAlignment="1">
      <alignment horizontal="right"/>
    </xf>
    <xf numFmtId="0" fontId="37" fillId="0" borderId="0" xfId="3" applyFont="1" applyAlignment="1">
      <alignment horizontal="right"/>
    </xf>
    <xf numFmtId="4" fontId="37" fillId="0" borderId="0" xfId="3" applyNumberFormat="1" applyFont="1" applyAlignment="1">
      <alignment horizontal="center"/>
    </xf>
    <xf numFmtId="0" fontId="17" fillId="0" borderId="0" xfId="0" applyFont="1" applyFill="1" applyBorder="1"/>
    <xf numFmtId="44" fontId="18" fillId="8" borderId="0" xfId="1" applyFont="1" applyFill="1" applyBorder="1"/>
    <xf numFmtId="0" fontId="38" fillId="0" borderId="0" xfId="0" applyFont="1" applyBorder="1"/>
    <xf numFmtId="0" fontId="0" fillId="0" borderId="0" xfId="0" applyFill="1"/>
    <xf numFmtId="0" fontId="18" fillId="8" borderId="0" xfId="0" applyFont="1" applyFill="1" applyBorder="1"/>
    <xf numFmtId="44" fontId="38" fillId="0" borderId="0" xfId="1" applyFont="1" applyBorder="1"/>
    <xf numFmtId="44" fontId="38" fillId="0" borderId="0" xfId="1" applyFont="1" applyFill="1" applyBorder="1"/>
    <xf numFmtId="0" fontId="0" fillId="0" borderId="0" xfId="0" applyFill="1" applyAlignment="1">
      <alignment vertical="center"/>
    </xf>
    <xf numFmtId="0" fontId="0" fillId="0" borderId="0" xfId="0" applyFill="1" applyBorder="1"/>
    <xf numFmtId="44" fontId="0" fillId="0" borderId="0" xfId="1" applyFont="1" applyFill="1"/>
    <xf numFmtId="0" fontId="9" fillId="7" borderId="4" xfId="0" applyFont="1" applyFill="1" applyBorder="1"/>
    <xf numFmtId="44" fontId="0" fillId="6" borderId="0" xfId="1" applyFont="1" applyFill="1" applyBorder="1"/>
    <xf numFmtId="14" fontId="0" fillId="0" borderId="0" xfId="0" applyNumberFormat="1" applyFill="1"/>
    <xf numFmtId="14" fontId="11" fillId="0" borderId="0" xfId="0" applyNumberFormat="1" applyFont="1" applyFill="1"/>
    <xf numFmtId="44" fontId="0" fillId="6" borderId="27" xfId="1" applyFont="1" applyFill="1" applyBorder="1"/>
    <xf numFmtId="44" fontId="0" fillId="0" borderId="27" xfId="1" applyFont="1" applyBorder="1"/>
    <xf numFmtId="0" fontId="38" fillId="0" borderId="0" xfId="0" applyFont="1" applyFill="1" applyBorder="1"/>
    <xf numFmtId="0" fontId="10" fillId="0" borderId="0" xfId="0" applyFont="1" applyFill="1" applyBorder="1"/>
    <xf numFmtId="14" fontId="22" fillId="6" borderId="26" xfId="0" applyNumberFormat="1" applyFont="1" applyFill="1" applyBorder="1" applyAlignment="1" applyProtection="1">
      <alignment horizontal="right" vertical="center" wrapText="1"/>
      <protection locked="0"/>
    </xf>
    <xf numFmtId="14" fontId="22" fillId="6" borderId="11" xfId="0" applyNumberFormat="1" applyFont="1" applyFill="1" applyBorder="1" applyAlignment="1" applyProtection="1">
      <alignment horizontal="right" vertical="center" wrapText="1"/>
      <protection locked="0"/>
    </xf>
    <xf numFmtId="2" fontId="22" fillId="6" borderId="26" xfId="0" applyNumberFormat="1" applyFont="1" applyFill="1" applyBorder="1" applyAlignment="1" applyProtection="1">
      <alignment horizontal="right" vertical="center" wrapText="1"/>
      <protection locked="0"/>
    </xf>
    <xf numFmtId="2" fontId="22" fillId="6" borderId="11" xfId="0" applyNumberFormat="1" applyFont="1" applyFill="1" applyBorder="1" applyAlignment="1" applyProtection="1">
      <alignment horizontal="right" vertical="center" wrapText="1"/>
      <protection locked="0"/>
    </xf>
    <xf numFmtId="0" fontId="0" fillId="7" borderId="0" xfId="0" applyFill="1"/>
    <xf numFmtId="0" fontId="0" fillId="7" borderId="0" xfId="0" applyFill="1" applyBorder="1"/>
    <xf numFmtId="44" fontId="0" fillId="7" borderId="0" xfId="0" applyNumberFormat="1" applyFill="1"/>
    <xf numFmtId="44" fontId="0" fillId="7" borderId="0" xfId="1" applyFont="1" applyFill="1"/>
    <xf numFmtId="9" fontId="22" fillId="6" borderId="11" xfId="0" applyNumberFormat="1" applyFont="1" applyFill="1" applyBorder="1" applyAlignment="1" applyProtection="1">
      <alignment horizontal="right" vertical="center" wrapText="1"/>
      <protection locked="0"/>
    </xf>
    <xf numFmtId="1" fontId="22" fillId="6" borderId="11" xfId="0" applyNumberFormat="1" applyFont="1" applyFill="1" applyBorder="1" applyAlignment="1" applyProtection="1">
      <alignment horizontal="right" vertical="center" wrapText="1"/>
      <protection locked="0"/>
    </xf>
    <xf numFmtId="0" fontId="18" fillId="5" borderId="0" xfId="0" applyFont="1" applyFill="1" applyBorder="1" applyAlignment="1"/>
    <xf numFmtId="0" fontId="0" fillId="0" borderId="21" xfId="0" applyBorder="1"/>
    <xf numFmtId="4" fontId="0" fillId="0" borderId="21" xfId="0" applyNumberFormat="1" applyBorder="1"/>
    <xf numFmtId="39" fontId="28" fillId="0" borderId="28" xfId="3" applyNumberFormat="1" applyFont="1" applyBorder="1" applyProtection="1">
      <protection hidden="1"/>
    </xf>
    <xf numFmtId="39" fontId="28" fillId="0" borderId="28" xfId="3" applyNumberFormat="1" applyFont="1" applyBorder="1"/>
    <xf numFmtId="0" fontId="4" fillId="0" borderId="28" xfId="3" applyBorder="1"/>
    <xf numFmtId="39" fontId="28" fillId="0" borderId="0" xfId="3" applyNumberFormat="1" applyFont="1"/>
    <xf numFmtId="4" fontId="0" fillId="0" borderId="0" xfId="0" applyNumberFormat="1"/>
    <xf numFmtId="39" fontId="28" fillId="0" borderId="0" xfId="3" applyNumberFormat="1" applyFont="1" applyAlignment="1">
      <alignment horizontal="right"/>
    </xf>
    <xf numFmtId="164" fontId="0" fillId="0" borderId="0" xfId="0" applyNumberFormat="1"/>
    <xf numFmtId="0" fontId="13" fillId="3" borderId="0" xfId="0" applyFont="1" applyFill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0" fontId="12" fillId="4" borderId="0" xfId="0" applyFont="1" applyFill="1" applyBorder="1" applyAlignment="1">
      <alignment horizontal="left"/>
    </xf>
    <xf numFmtId="0" fontId="18" fillId="4" borderId="0" xfId="0" applyFont="1" applyFill="1" applyBorder="1" applyAlignment="1">
      <alignment horizontal="right"/>
    </xf>
    <xf numFmtId="0" fontId="36" fillId="0" borderId="0" xfId="2" applyFont="1" applyAlignment="1"/>
    <xf numFmtId="0" fontId="35" fillId="0" borderId="13" xfId="3" applyFont="1" applyBorder="1" applyAlignment="1">
      <alignment horizontal="center"/>
    </xf>
    <xf numFmtId="0" fontId="35" fillId="0" borderId="14" xfId="3" applyFont="1" applyBorder="1" applyAlignment="1">
      <alignment horizontal="center"/>
    </xf>
    <xf numFmtId="0" fontId="35" fillId="0" borderId="15" xfId="3" applyFont="1" applyBorder="1" applyAlignment="1">
      <alignment horizontal="center"/>
    </xf>
  </cellXfs>
  <cellStyles count="8">
    <cellStyle name="Millares 2" xfId="4"/>
    <cellStyle name="Moneda" xfId="1" builtinId="4"/>
    <cellStyle name="Moneda 2" xfId="7"/>
    <cellStyle name="Normal" xfId="0" builtinId="0"/>
    <cellStyle name="Normal 2" xfId="6"/>
    <cellStyle name="Normal_NOMINA" xfId="2"/>
    <cellStyle name="Normal_Rev Cálculos IMSS e ISR 2000 S Nómina(1)" xfId="3"/>
    <cellStyle name="Porcentaje 2" xfId="5"/>
  </cellStyles>
  <dxfs count="0"/>
  <tableStyles count="0" defaultTableStyle="TableStyleMedium2" defaultPivotStyle="PivotStyleLight16"/>
  <colors>
    <mruColors>
      <color rgb="FFF5F5F5"/>
      <color rgb="FF6B7A8F"/>
      <color rgb="FF0F1626"/>
      <color rgb="FFF7882F"/>
      <color rgb="FFAB987A"/>
      <color rgb="FFF7C33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159326</xdr:colOff>
      <xdr:row>19</xdr:row>
      <xdr:rowOff>23650</xdr:rowOff>
    </xdr:from>
    <xdr:to>
      <xdr:col>5</xdr:col>
      <xdr:colOff>1052943</xdr:colOff>
      <xdr:row>23</xdr:row>
      <xdr:rowOff>173182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C95C3FAF-A0F6-442B-AB94-507F491C4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4999" y="3265614"/>
          <a:ext cx="893617" cy="925386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25"/>
  <sheetViews>
    <sheetView showGridLines="0" tabSelected="1" zoomScale="98" zoomScaleNormal="98" zoomScaleSheetLayoutView="100" workbookViewId="0">
      <selection activeCell="C10" sqref="C10"/>
    </sheetView>
  </sheetViews>
  <sheetFormatPr baseColWidth="10" defaultRowHeight="15"/>
  <cols>
    <col min="1" max="1" width="1.28515625" style="129" customWidth="1"/>
    <col min="2" max="2" width="24.7109375" style="129" customWidth="1"/>
    <col min="3" max="3" width="9.28515625" style="129" customWidth="1"/>
    <col min="4" max="4" width="21.28515625" style="132" customWidth="1"/>
    <col min="5" max="5" width="21.28515625" style="129" customWidth="1"/>
    <col min="6" max="6" width="17.85546875" style="132" customWidth="1"/>
    <col min="7" max="7" width="5.42578125" style="129" customWidth="1"/>
    <col min="8" max="8" width="2.140625" style="129" customWidth="1"/>
    <col min="9" max="16382" width="11.5703125" style="129"/>
    <col min="16383" max="16384" width="11.5703125" style="129" customWidth="1"/>
  </cols>
  <sheetData>
    <row r="1" spans="1:8" thickBot="1">
      <c r="A1"/>
      <c r="B1"/>
      <c r="C1"/>
      <c r="D1" s="1"/>
      <c r="E1"/>
      <c r="F1" s="122"/>
      <c r="G1" s="110"/>
    </row>
    <row r="2" spans="1:8" thickTop="1">
      <c r="A2" s="110"/>
      <c r="B2" s="110"/>
      <c r="C2" s="110"/>
      <c r="D2" s="116"/>
      <c r="E2" s="110"/>
      <c r="F2" s="125">
        <v>44197</v>
      </c>
      <c r="G2" s="110"/>
    </row>
    <row r="3" spans="1:8" ht="31.5" customHeight="1">
      <c r="A3" s="114"/>
      <c r="B3" s="145" t="s">
        <v>54</v>
      </c>
      <c r="C3" s="146"/>
      <c r="D3" s="146"/>
      <c r="E3" s="146"/>
      <c r="F3" s="146"/>
      <c r="G3" s="119"/>
    </row>
    <row r="4" spans="1:8" s="130" customFormat="1" ht="6" customHeight="1" thickBot="1">
      <c r="A4" s="115"/>
      <c r="B4" s="23"/>
      <c r="C4" s="118"/>
      <c r="D4" s="121"/>
      <c r="E4" s="23"/>
      <c r="F4" s="121"/>
      <c r="G4" s="115"/>
    </row>
    <row r="5" spans="1:8" ht="15.6" thickTop="1" thickBot="1">
      <c r="A5" s="110"/>
      <c r="B5" s="117" t="s">
        <v>1</v>
      </c>
      <c r="C5" s="27"/>
      <c r="D5" s="125"/>
      <c r="E5" s="29" t="s">
        <v>0</v>
      </c>
      <c r="F5" s="127"/>
      <c r="G5" s="120"/>
    </row>
    <row r="6" spans="1:8" ht="15.6" thickTop="1" thickBot="1">
      <c r="A6" s="115"/>
      <c r="B6" s="29" t="s">
        <v>19</v>
      </c>
      <c r="C6" s="27"/>
      <c r="D6" s="126"/>
      <c r="E6" s="30" t="s">
        <v>56</v>
      </c>
      <c r="F6" s="128">
        <f>141.7*2</f>
        <v>283.39999999999998</v>
      </c>
      <c r="G6" s="110"/>
    </row>
    <row r="7" spans="1:8" thickTop="1">
      <c r="A7" s="115"/>
      <c r="B7" s="26"/>
      <c r="C7" s="27"/>
      <c r="D7" s="28"/>
      <c r="E7" s="30" t="s">
        <v>55</v>
      </c>
      <c r="F7" s="31">
        <f>DAYS360(D5,D6)+5</f>
        <v>5</v>
      </c>
      <c r="G7" s="110"/>
    </row>
    <row r="8" spans="1:8">
      <c r="A8" s="115"/>
      <c r="B8" s="147" t="s">
        <v>10</v>
      </c>
      <c r="C8" s="147"/>
      <c r="D8" s="11"/>
      <c r="E8" s="15" t="s">
        <v>11</v>
      </c>
      <c r="F8" s="14"/>
      <c r="G8" s="110"/>
    </row>
    <row r="9" spans="1:8" thickBot="1">
      <c r="A9" s="115"/>
      <c r="B9" s="109" t="s">
        <v>5</v>
      </c>
      <c r="C9" s="109"/>
      <c r="D9" s="112" t="s">
        <v>6</v>
      </c>
      <c r="E9" s="12" t="s">
        <v>5</v>
      </c>
      <c r="F9" s="13" t="s">
        <v>6</v>
      </c>
      <c r="G9" s="110"/>
    </row>
    <row r="10" spans="1:8" ht="15.6" thickTop="1" thickBot="1">
      <c r="A10" s="115"/>
      <c r="B10" s="109" t="s">
        <v>7</v>
      </c>
      <c r="C10" s="128">
        <v>15</v>
      </c>
      <c r="D10" s="113">
        <f>F5*C10</f>
        <v>0</v>
      </c>
      <c r="E10" s="12" t="s">
        <v>52</v>
      </c>
      <c r="F10" s="13">
        <f>IFERROR(I.S.R.!J5,0)</f>
        <v>0</v>
      </c>
      <c r="G10" s="115"/>
    </row>
    <row r="11" spans="1:8" ht="15.6" thickTop="1" thickBot="1">
      <c r="A11" s="115"/>
      <c r="B11" s="109" t="s">
        <v>68</v>
      </c>
      <c r="C11" s="128">
        <v>3</v>
      </c>
      <c r="D11" s="113">
        <f>C11*F5</f>
        <v>0</v>
      </c>
      <c r="E11" s="12" t="s">
        <v>69</v>
      </c>
      <c r="F11" s="13">
        <f>IFERROR(I.S.R.!J8,0)</f>
        <v>0</v>
      </c>
      <c r="G11" s="110"/>
    </row>
    <row r="12" spans="1:8" ht="15.6" thickTop="1" thickBot="1">
      <c r="A12" s="115"/>
      <c r="B12" s="109" t="s">
        <v>53</v>
      </c>
      <c r="C12" s="133">
        <v>0.25</v>
      </c>
      <c r="D12" s="113">
        <f>D11*C12</f>
        <v>0</v>
      </c>
      <c r="E12" s="107" t="s">
        <v>70</v>
      </c>
      <c r="F12" s="13">
        <f>IFERROR(I.S.R.!J9,0)</f>
        <v>0</v>
      </c>
      <c r="G12" s="110"/>
    </row>
    <row r="13" spans="1:8" ht="15.6" thickTop="1" thickBot="1">
      <c r="A13" s="115"/>
      <c r="B13" s="109" t="s">
        <v>9</v>
      </c>
      <c r="C13" s="134">
        <v>15</v>
      </c>
      <c r="D13" s="113">
        <f>(C13/365*(D6-F2))*F5</f>
        <v>0</v>
      </c>
      <c r="E13" s="107" t="s">
        <v>71</v>
      </c>
      <c r="F13" s="13">
        <f>IFERROR(I.S.R.!J10,0)</f>
        <v>0</v>
      </c>
      <c r="G13" s="110"/>
    </row>
    <row r="14" spans="1:8" ht="15.6" thickTop="1" thickBot="1">
      <c r="A14" s="115"/>
      <c r="B14" s="123" t="s">
        <v>51</v>
      </c>
      <c r="C14" s="128">
        <v>90</v>
      </c>
      <c r="D14" s="113">
        <f>C14*F5</f>
        <v>0</v>
      </c>
      <c r="E14" s="12" t="s">
        <v>73</v>
      </c>
      <c r="F14" s="13">
        <f>IFERROR(I.S.R.!J13,0)</f>
        <v>0</v>
      </c>
      <c r="G14" s="110"/>
    </row>
    <row r="15" spans="1:8" ht="16.5" thickTop="1" thickBot="1">
      <c r="A15" s="115"/>
      <c r="B15" s="123" t="s">
        <v>8</v>
      </c>
      <c r="C15" s="128">
        <f>(12/365)*(F7)</f>
        <v>0.16438356164383561</v>
      </c>
      <c r="D15" s="113">
        <f>F6*C15</f>
        <v>46.586301369863008</v>
      </c>
      <c r="E15" s="107" t="s">
        <v>72</v>
      </c>
      <c r="F15" s="13">
        <f>IFERROR(I.S.R.!J14,0)</f>
        <v>0</v>
      </c>
      <c r="G15" s="110"/>
      <c r="H15" s="131"/>
    </row>
    <row r="16" spans="1:8" ht="16.5" thickTop="1" thickBot="1">
      <c r="A16" s="115"/>
      <c r="B16" s="124" t="s">
        <v>18</v>
      </c>
      <c r="C16" s="128">
        <f>(20/365)*(F7)</f>
        <v>0.27397260273972601</v>
      </c>
      <c r="D16" s="113">
        <f>F5*C16</f>
        <v>0</v>
      </c>
      <c r="E16" s="12" t="s">
        <v>74</v>
      </c>
      <c r="F16" s="13">
        <f>IFERROR(I.S.R.!J15,0)</f>
        <v>0</v>
      </c>
      <c r="G16" s="110"/>
      <c r="H16" s="131"/>
    </row>
    <row r="17" spans="1:8" thickTop="1">
      <c r="A17" s="115"/>
      <c r="B17" s="148" t="s">
        <v>2</v>
      </c>
      <c r="C17" s="148"/>
      <c r="D17" s="17">
        <f>SUM(D10:D16)</f>
        <v>46.586301369863008</v>
      </c>
      <c r="E17" s="135" t="s">
        <v>3</v>
      </c>
      <c r="F17" s="16">
        <f>SUM(F10:F16)</f>
        <v>0</v>
      </c>
      <c r="G17" s="110"/>
      <c r="H17" s="131"/>
    </row>
    <row r="18" spans="1:8" ht="14.45">
      <c r="A18" s="115"/>
      <c r="B18" s="24"/>
      <c r="C18" s="24"/>
      <c r="D18" s="25"/>
      <c r="E18" s="111" t="s">
        <v>4</v>
      </c>
      <c r="F18" s="108">
        <f>D17-F17</f>
        <v>46.586301369863008</v>
      </c>
      <c r="G18" s="110"/>
      <c r="H18" s="131"/>
    </row>
    <row r="19" spans="1:8" ht="14.45">
      <c r="A19" s="110"/>
      <c r="B19" s="21"/>
      <c r="C19" s="21"/>
      <c r="D19" s="22"/>
      <c r="E19" s="21"/>
      <c r="F19" s="22"/>
      <c r="G19" s="110"/>
      <c r="H19" s="131"/>
    </row>
    <row r="20" spans="1:8" ht="16.5">
      <c r="A20" s="110"/>
      <c r="B20" s="18" t="s">
        <v>17</v>
      </c>
      <c r="C20" s="18"/>
      <c r="D20" s="19"/>
      <c r="E20" s="21"/>
      <c r="F20" s="22"/>
      <c r="G20" s="110"/>
      <c r="H20" s="131"/>
    </row>
    <row r="21" spans="1:8">
      <c r="A21" s="110"/>
      <c r="B21" s="18" t="s">
        <v>12</v>
      </c>
      <c r="C21" s="18"/>
      <c r="D21" s="19"/>
      <c r="E21" s="21"/>
      <c r="F21" s="22"/>
      <c r="G21" s="110"/>
    </row>
    <row r="22" spans="1:8">
      <c r="A22" s="110"/>
      <c r="B22" s="18" t="s">
        <v>13</v>
      </c>
      <c r="C22" s="18"/>
      <c r="D22" s="19"/>
      <c r="E22" s="21"/>
      <c r="F22" s="22"/>
      <c r="G22" s="110"/>
    </row>
    <row r="23" spans="1:8">
      <c r="A23" s="110"/>
      <c r="B23" s="18" t="s">
        <v>14</v>
      </c>
      <c r="C23" s="18"/>
      <c r="D23" s="19"/>
      <c r="E23" s="21"/>
      <c r="F23" s="22"/>
      <c r="G23" s="110"/>
    </row>
    <row r="24" spans="1:8">
      <c r="A24" s="110"/>
      <c r="B24" s="18" t="s">
        <v>15</v>
      </c>
      <c r="C24" s="18"/>
      <c r="D24" s="19"/>
      <c r="E24" s="20" t="s">
        <v>16</v>
      </c>
      <c r="F24" s="22"/>
      <c r="G24" s="110"/>
    </row>
    <row r="25" spans="1:8" ht="14.45">
      <c r="A25" s="110"/>
      <c r="B25" s="110"/>
      <c r="C25" s="110"/>
      <c r="D25" s="116"/>
      <c r="E25" s="110"/>
      <c r="F25" s="116"/>
      <c r="G25" s="110"/>
    </row>
  </sheetData>
  <sheetProtection algorithmName="SHA-512" hashValue="S5hdUzVEZJSAT7A8n/u/N7kk87+CStsIKtHG3ORkKIVbwGdZObLoqf4QLR633leu5G7/ROFg+6mjJ4G+zcDUiQ==" saltValue="ttTJrgvxoW0fiyIs32XkQg==" spinCount="100000" sheet="1" formatCells="0" formatColumns="0" formatRows="0" insertColumns="0" insertRows="0" insertHyperlinks="0" deleteColumns="0" deleteRows="0" selectLockedCells="1" pivotTables="0"/>
  <mergeCells count="3">
    <mergeCell ref="B3:F3"/>
    <mergeCell ref="B8:C8"/>
    <mergeCell ref="B17:C17"/>
  </mergeCells>
  <pageMargins left="0.70866141732283472" right="0.70866141732283472" top="0.74803149606299213" bottom="0.74803149606299213" header="0.31496062992125984" footer="0.31496062992125984"/>
  <pageSetup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6"/>
  <sheetViews>
    <sheetView showGridLines="0" topLeftCell="A5" zoomScale="80" zoomScaleNormal="80" workbookViewId="0">
      <selection activeCell="M5" sqref="M5"/>
    </sheetView>
  </sheetViews>
  <sheetFormatPr baseColWidth="10" defaultColWidth="11.42578125" defaultRowHeight="12.75"/>
  <cols>
    <col min="1" max="1" width="34.85546875" style="5" customWidth="1"/>
    <col min="2" max="2" width="13.42578125" style="5" bestFit="1" customWidth="1"/>
    <col min="3" max="3" width="12.5703125" style="5" customWidth="1"/>
    <col min="4" max="4" width="11.28515625" style="5" customWidth="1"/>
    <col min="5" max="5" width="11.7109375" style="5" customWidth="1"/>
    <col min="6" max="6" width="10.7109375" style="5" customWidth="1"/>
    <col min="7" max="7" width="10.28515625" style="5" customWidth="1"/>
    <col min="8" max="8" width="9.28515625" style="5" customWidth="1"/>
    <col min="9" max="9" width="5.28515625" style="5" customWidth="1"/>
    <col min="10" max="10" width="10.5703125" style="5" customWidth="1"/>
    <col min="11" max="11" width="5.85546875" style="5" customWidth="1"/>
    <col min="12" max="12" width="11.42578125" style="5" customWidth="1"/>
    <col min="13" max="13" width="14.42578125" style="5" customWidth="1"/>
    <col min="14" max="15" width="11.42578125" style="5" customWidth="1"/>
    <col min="16" max="16" width="4.7109375" style="5" customWidth="1"/>
    <col min="17" max="17" width="11.42578125" style="5" customWidth="1"/>
    <col min="18" max="18" width="14.42578125" style="5" customWidth="1"/>
    <col min="19" max="19" width="8.42578125" style="5" customWidth="1"/>
    <col min="20" max="20" width="11.140625" style="5" customWidth="1"/>
    <col min="21" max="21" width="3.85546875" style="5" customWidth="1"/>
    <col min="22" max="22" width="11.140625" style="5" customWidth="1"/>
    <col min="23" max="23" width="12.7109375" style="5" customWidth="1"/>
    <col min="24" max="25" width="11.140625" style="5" customWidth="1"/>
    <col min="26" max="26" width="4.42578125" style="5" customWidth="1"/>
    <col min="27" max="27" width="11.42578125" style="5" customWidth="1"/>
    <col min="28" max="28" width="12.7109375" style="5" customWidth="1"/>
    <col min="29" max="29" width="8.5703125" style="5" customWidth="1"/>
    <col min="30" max="30" width="18.5703125" style="5" customWidth="1"/>
    <col min="31" max="31" width="11.42578125" style="5" customWidth="1"/>
    <col min="32" max="16384" width="11.42578125" style="5"/>
  </cols>
  <sheetData>
    <row r="1" spans="1:32" ht="17.45">
      <c r="A1" s="2"/>
      <c r="B1" s="2"/>
      <c r="C1" s="3"/>
      <c r="D1" s="3"/>
      <c r="E1" s="3"/>
      <c r="F1" s="3"/>
      <c r="G1" s="4"/>
      <c r="H1" s="4"/>
    </row>
    <row r="2" spans="1:32" ht="17.45">
      <c r="A2" s="149" t="s">
        <v>58</v>
      </c>
      <c r="B2" s="149"/>
      <c r="C2" s="149"/>
      <c r="D2" s="149"/>
      <c r="E2" s="149"/>
      <c r="F2" s="74" t="s">
        <v>57</v>
      </c>
      <c r="G2" s="150">
        <v>89.62</v>
      </c>
      <c r="H2" s="151"/>
      <c r="I2" s="151"/>
      <c r="J2" s="152"/>
    </row>
    <row r="3" spans="1:32" ht="4.5" customHeight="1">
      <c r="A3" s="32"/>
      <c r="B3" s="32"/>
      <c r="C3" s="33"/>
      <c r="D3" s="33"/>
      <c r="E3" s="34"/>
      <c r="F3" s="33"/>
      <c r="G3" s="33"/>
      <c r="H3" s="33"/>
      <c r="I3" s="33"/>
      <c r="J3" s="33"/>
    </row>
    <row r="4" spans="1:32" ht="28.9">
      <c r="A4" s="89"/>
      <c r="B4" s="88" t="s">
        <v>20</v>
      </c>
      <c r="C4" s="84" t="s">
        <v>21</v>
      </c>
      <c r="D4" s="85" t="s">
        <v>22</v>
      </c>
      <c r="E4" s="86" t="s">
        <v>23</v>
      </c>
      <c r="F4" s="88" t="s">
        <v>24</v>
      </c>
      <c r="G4" s="87" t="s">
        <v>25</v>
      </c>
      <c r="H4" s="88" t="s">
        <v>26</v>
      </c>
      <c r="I4" s="88" t="s">
        <v>27</v>
      </c>
      <c r="J4" s="88" t="s">
        <v>28</v>
      </c>
      <c r="L4" s="65" t="s">
        <v>29</v>
      </c>
      <c r="M4" s="66"/>
      <c r="N4" s="67"/>
      <c r="O4" s="66"/>
      <c r="P4" s="68"/>
      <c r="Q4" s="65" t="s">
        <v>30</v>
      </c>
      <c r="R4" s="66"/>
      <c r="S4" s="67"/>
      <c r="T4" s="66"/>
      <c r="U4" s="66"/>
      <c r="V4" s="65" t="s">
        <v>31</v>
      </c>
      <c r="W4" s="66"/>
      <c r="X4" s="43"/>
      <c r="Y4" s="42"/>
      <c r="Z4" s="42"/>
      <c r="AA4" s="41" t="s">
        <v>32</v>
      </c>
      <c r="AB4" s="45"/>
      <c r="AC4" s="45"/>
      <c r="AD4" s="46"/>
      <c r="AE4" s="46"/>
      <c r="AF4" s="46"/>
    </row>
    <row r="5" spans="1:32" ht="14.45">
      <c r="A5" s="73" t="s">
        <v>50</v>
      </c>
      <c r="B5" s="35">
        <f>RWB!D10</f>
        <v>0</v>
      </c>
      <c r="C5" s="36" t="e">
        <f>VLOOKUP(B5,$Q$10:$T$21,1)</f>
        <v>#N/A</v>
      </c>
      <c r="D5" s="37" t="e">
        <f>+B5-C5</f>
        <v>#N/A</v>
      </c>
      <c r="E5" s="38" t="e">
        <f>VLOOKUP(B5,$Q$10:$T$21,4)</f>
        <v>#N/A</v>
      </c>
      <c r="F5" s="37" t="e">
        <f>+D5*E5</f>
        <v>#N/A</v>
      </c>
      <c r="G5" s="39" t="e">
        <f>VLOOKUP(B5,$Q$10:$T$21,3)</f>
        <v>#N/A</v>
      </c>
      <c r="H5" s="39" t="e">
        <f>F5+G5</f>
        <v>#N/A</v>
      </c>
      <c r="I5" s="37" t="e">
        <f>VLOOKUP(B5,$Q$30:$S$40,3)</f>
        <v>#N/A</v>
      </c>
      <c r="J5" s="37" t="e">
        <f>H5-I5</f>
        <v>#N/A</v>
      </c>
      <c r="K5" s="6"/>
      <c r="L5" s="47" t="s">
        <v>33</v>
      </c>
      <c r="M5" s="44"/>
      <c r="N5" s="44"/>
      <c r="O5" s="44"/>
      <c r="P5" s="46"/>
      <c r="Q5" s="47" t="s">
        <v>33</v>
      </c>
      <c r="R5" s="44"/>
      <c r="S5" s="44"/>
      <c r="T5" s="44"/>
      <c r="U5" s="44"/>
      <c r="V5" s="47" t="s">
        <v>33</v>
      </c>
      <c r="W5" s="44"/>
      <c r="X5" s="44"/>
      <c r="Y5" s="44"/>
      <c r="Z5" s="44"/>
      <c r="AA5" s="47" t="s">
        <v>33</v>
      </c>
      <c r="AB5" s="44"/>
      <c r="AC5" s="44"/>
      <c r="AD5" s="44"/>
      <c r="AE5" s="46"/>
      <c r="AF5" s="46"/>
    </row>
    <row r="6" spans="1:32" ht="14.45">
      <c r="A6" s="32"/>
      <c r="B6" s="32"/>
      <c r="C6" s="32"/>
      <c r="D6" s="32"/>
      <c r="E6" s="32"/>
      <c r="F6" s="32"/>
      <c r="G6" s="32"/>
      <c r="H6" s="32"/>
      <c r="I6" s="32"/>
      <c r="J6" s="32"/>
      <c r="L6" s="47"/>
      <c r="M6" s="44"/>
      <c r="N6" s="44"/>
      <c r="O6" s="44"/>
      <c r="P6" s="46"/>
      <c r="Q6" s="47"/>
      <c r="R6" s="44"/>
      <c r="S6" s="44"/>
      <c r="T6" s="44"/>
      <c r="U6" s="44"/>
      <c r="V6" s="47"/>
      <c r="W6" s="44"/>
      <c r="X6" s="44"/>
      <c r="Y6" s="44"/>
      <c r="Z6" s="44"/>
      <c r="AA6" s="47"/>
      <c r="AB6" s="44"/>
      <c r="AC6" s="44"/>
      <c r="AD6" s="44"/>
      <c r="AE6" s="46"/>
      <c r="AF6" s="46"/>
    </row>
    <row r="7" spans="1:32" ht="28.9">
      <c r="A7" s="89"/>
      <c r="B7" s="88" t="s">
        <v>20</v>
      </c>
      <c r="C7" s="84" t="s">
        <v>21</v>
      </c>
      <c r="D7" s="85" t="s">
        <v>22</v>
      </c>
      <c r="E7" s="86" t="s">
        <v>23</v>
      </c>
      <c r="F7" s="88" t="s">
        <v>24</v>
      </c>
      <c r="G7" s="87" t="s">
        <v>25</v>
      </c>
      <c r="H7" s="88" t="s">
        <v>26</v>
      </c>
      <c r="I7" s="88" t="s">
        <v>27</v>
      </c>
      <c r="J7" s="88" t="s">
        <v>28</v>
      </c>
      <c r="L7" s="69" t="s">
        <v>34</v>
      </c>
      <c r="M7" s="71" t="s">
        <v>34</v>
      </c>
      <c r="N7" s="82" t="s">
        <v>35</v>
      </c>
      <c r="O7" s="80" t="s">
        <v>36</v>
      </c>
      <c r="P7" s="46"/>
      <c r="Q7" s="90" t="s">
        <v>34</v>
      </c>
      <c r="R7" s="91" t="s">
        <v>34</v>
      </c>
      <c r="S7" s="92" t="s">
        <v>35</v>
      </c>
      <c r="T7" s="93" t="s">
        <v>36</v>
      </c>
      <c r="U7" s="50"/>
      <c r="V7" s="90" t="s">
        <v>34</v>
      </c>
      <c r="W7" s="91" t="s">
        <v>34</v>
      </c>
      <c r="X7" s="92" t="s">
        <v>35</v>
      </c>
      <c r="Y7" s="93" t="s">
        <v>36</v>
      </c>
      <c r="Z7" s="50"/>
      <c r="AA7" s="90" t="s">
        <v>34</v>
      </c>
      <c r="AB7" s="91" t="s">
        <v>34</v>
      </c>
      <c r="AC7" s="92" t="s">
        <v>35</v>
      </c>
      <c r="AD7" s="93" t="s">
        <v>36</v>
      </c>
      <c r="AE7" s="46"/>
      <c r="AF7" s="46"/>
    </row>
    <row r="8" spans="1:32" ht="14.45">
      <c r="A8" s="73" t="s">
        <v>60</v>
      </c>
      <c r="B8" s="35">
        <f>RWB!D13-(G2*30)</f>
        <v>-2688.6000000000004</v>
      </c>
      <c r="C8" s="36" t="e">
        <f>VLOOKUP(B8,$L$10:$O$21,1)</f>
        <v>#N/A</v>
      </c>
      <c r="D8" s="37" t="e">
        <f>+B8-C8</f>
        <v>#N/A</v>
      </c>
      <c r="E8" s="38" t="e">
        <f>VLOOKUP(B8,$L$10:$O$21,4)</f>
        <v>#N/A</v>
      </c>
      <c r="F8" s="37" t="e">
        <f>+D8*E8</f>
        <v>#N/A</v>
      </c>
      <c r="G8" s="39" t="e">
        <f>VLOOKUP(B8,$L$10:$O$21,3)</f>
        <v>#N/A</v>
      </c>
      <c r="H8" s="39" t="e">
        <f>F8+G8</f>
        <v>#N/A</v>
      </c>
      <c r="I8" s="37"/>
      <c r="J8" s="37" t="e">
        <f>H8-I8</f>
        <v>#N/A</v>
      </c>
      <c r="L8" s="70" t="s">
        <v>37</v>
      </c>
      <c r="M8" s="72" t="s">
        <v>38</v>
      </c>
      <c r="N8" s="83" t="s">
        <v>39</v>
      </c>
      <c r="O8" s="81" t="s">
        <v>40</v>
      </c>
      <c r="P8" s="46"/>
      <c r="Q8" s="94" t="s">
        <v>37</v>
      </c>
      <c r="R8" s="72" t="s">
        <v>38</v>
      </c>
      <c r="S8" s="83" t="s">
        <v>39</v>
      </c>
      <c r="T8" s="95" t="s">
        <v>40</v>
      </c>
      <c r="U8" s="50"/>
      <c r="V8" s="94" t="s">
        <v>37</v>
      </c>
      <c r="W8" s="72" t="s">
        <v>38</v>
      </c>
      <c r="X8" s="83" t="s">
        <v>39</v>
      </c>
      <c r="Y8" s="95" t="s">
        <v>40</v>
      </c>
      <c r="Z8" s="50"/>
      <c r="AA8" s="94" t="s">
        <v>37</v>
      </c>
      <c r="AB8" s="72" t="s">
        <v>38</v>
      </c>
      <c r="AC8" s="83" t="s">
        <v>39</v>
      </c>
      <c r="AD8" s="95" t="s">
        <v>40</v>
      </c>
      <c r="AE8" s="46"/>
      <c r="AF8" s="46"/>
    </row>
    <row r="9" spans="1:32" ht="14.45">
      <c r="A9" s="73" t="s">
        <v>67</v>
      </c>
      <c r="B9" s="35">
        <f>RWB!D11</f>
        <v>0</v>
      </c>
      <c r="C9" s="36" t="e">
        <f>VLOOKUP(B9,$L$10:$O$21,1)</f>
        <v>#N/A</v>
      </c>
      <c r="D9" s="37" t="e">
        <f>+B9-C9</f>
        <v>#N/A</v>
      </c>
      <c r="E9" s="38" t="e">
        <f>VLOOKUP(B9,$L$10:$O$21,4)</f>
        <v>#N/A</v>
      </c>
      <c r="F9" s="37" t="e">
        <f>+D9*E9</f>
        <v>#N/A</v>
      </c>
      <c r="G9" s="39" t="e">
        <f>VLOOKUP(B9,$L$10:$O$21,3)</f>
        <v>#N/A</v>
      </c>
      <c r="H9" s="39" t="e">
        <f>F9+G9</f>
        <v>#N/A</v>
      </c>
      <c r="I9" s="37"/>
      <c r="J9" s="37" t="e">
        <f>H9-I9</f>
        <v>#N/A</v>
      </c>
      <c r="L9" s="53"/>
      <c r="M9" s="54"/>
      <c r="N9" s="54"/>
      <c r="O9" s="55"/>
      <c r="P9" s="44"/>
      <c r="Q9" s="96"/>
      <c r="R9" s="54"/>
      <c r="S9" s="54"/>
      <c r="T9" s="97"/>
      <c r="U9" s="54"/>
      <c r="V9" s="96"/>
      <c r="W9" s="54"/>
      <c r="X9" s="54"/>
      <c r="Y9" s="97"/>
      <c r="Z9" s="54"/>
      <c r="AA9" s="53"/>
      <c r="AB9" s="54"/>
      <c r="AC9" s="54"/>
      <c r="AD9" s="55"/>
      <c r="AE9" s="46"/>
      <c r="AF9" s="46"/>
    </row>
    <row r="10" spans="1:32" ht="14.45">
      <c r="A10" s="73" t="s">
        <v>59</v>
      </c>
      <c r="B10" s="35">
        <f>(RWB!D12-15*G2)</f>
        <v>-1344.3000000000002</v>
      </c>
      <c r="C10" s="36" t="e">
        <f>VLOOKUP(B10,$L$10:$O$21,1)</f>
        <v>#N/A</v>
      </c>
      <c r="D10" s="37" t="e">
        <f>+B10-C10</f>
        <v>#N/A</v>
      </c>
      <c r="E10" s="38" t="e">
        <f>VLOOKUP(B10,$L$10:$O$21,4)</f>
        <v>#N/A</v>
      </c>
      <c r="F10" s="37" t="e">
        <f>+D10*E10</f>
        <v>#N/A</v>
      </c>
      <c r="G10" s="39" t="e">
        <f>VLOOKUP(B10,$L$10:$O$21,3)</f>
        <v>#N/A</v>
      </c>
      <c r="H10" s="39" t="e">
        <f>F10+G10</f>
        <v>#N/A</v>
      </c>
      <c r="I10" s="37"/>
      <c r="J10" s="37" t="e">
        <f>H10-I10</f>
        <v>#N/A</v>
      </c>
      <c r="L10" s="98">
        <v>0.01</v>
      </c>
      <c r="M10" s="141">
        <f>+L11-0.01</f>
        <v>644.58000000000004</v>
      </c>
      <c r="N10" s="141">
        <v>0</v>
      </c>
      <c r="O10" s="57">
        <v>1.9199999999999998E-2</v>
      </c>
      <c r="P10" s="44"/>
      <c r="Q10" s="98">
        <v>0.01</v>
      </c>
      <c r="R10" s="56">
        <f>+Q11-0.01</f>
        <v>318.04427631578955</v>
      </c>
      <c r="S10" s="56">
        <v>0</v>
      </c>
      <c r="T10" s="99">
        <f>+O10</f>
        <v>1.9199999999999998E-2</v>
      </c>
      <c r="U10" s="58"/>
      <c r="V10" s="98">
        <v>0.01</v>
      </c>
      <c r="W10" s="56">
        <f t="shared" ref="W10:W15" si="0">+V11-0.01</f>
        <v>296.84065789473692</v>
      </c>
      <c r="X10" s="56">
        <v>0</v>
      </c>
      <c r="Y10" s="99">
        <f t="shared" ref="Y10:Y19" si="1">+O10</f>
        <v>1.9199999999999998E-2</v>
      </c>
      <c r="Z10" s="58"/>
      <c r="AA10" s="138">
        <v>0.01</v>
      </c>
      <c r="AB10" s="56">
        <f t="shared" ref="AB10:AB18" si="2">+AA11-0.01</f>
        <v>148.41532894736847</v>
      </c>
      <c r="AC10" s="56">
        <v>0</v>
      </c>
      <c r="AD10" s="57">
        <f t="shared" ref="AD10:AD19" si="3">+T10</f>
        <v>1.9199999999999998E-2</v>
      </c>
      <c r="AE10" s="46"/>
      <c r="AF10" s="46"/>
    </row>
    <row r="11" spans="1:32" ht="14.45">
      <c r="A11" s="40"/>
      <c r="B11" s="32"/>
      <c r="C11" s="32"/>
      <c r="D11" s="32"/>
      <c r="E11" s="32"/>
      <c r="F11" s="32"/>
      <c r="G11" s="32"/>
      <c r="H11" s="32"/>
      <c r="I11" s="32"/>
      <c r="J11" s="32"/>
      <c r="L11" s="136">
        <v>644.59</v>
      </c>
      <c r="M11" s="141">
        <f t="shared" ref="M11:M18" si="4">+L12-0.01</f>
        <v>5470.92</v>
      </c>
      <c r="N11">
        <v>12.38</v>
      </c>
      <c r="O11" s="57">
        <v>6.4000000000000001E-2</v>
      </c>
      <c r="P11" s="43"/>
      <c r="Q11" s="100">
        <f>(L11/30.4)*15</f>
        <v>318.05427631578954</v>
      </c>
      <c r="R11" s="56">
        <f t="shared" ref="R11:R18" si="5">+Q12-0.01</f>
        <v>2699.4620394736844</v>
      </c>
      <c r="S11" s="56">
        <f>(N11/30.4)*15</f>
        <v>6.1085526315789487</v>
      </c>
      <c r="T11" s="99">
        <f>+O11</f>
        <v>6.4000000000000001E-2</v>
      </c>
      <c r="U11" s="58"/>
      <c r="V11" s="100">
        <f t="shared" ref="V11:V19" si="6">(L11/30.4)*14</f>
        <v>296.85065789473691</v>
      </c>
      <c r="W11" s="56">
        <f t="shared" si="0"/>
        <v>2519.4972368421054</v>
      </c>
      <c r="X11" s="56">
        <f t="shared" ref="X11:X19" si="7">(N11/30.4)*14</f>
        <v>5.7013157894736857</v>
      </c>
      <c r="Y11" s="99">
        <f t="shared" si="1"/>
        <v>6.4000000000000001E-2</v>
      </c>
      <c r="Z11" s="58"/>
      <c r="AA11" s="139">
        <f>+(L11/30.4)*7</f>
        <v>148.42532894736846</v>
      </c>
      <c r="AB11" s="56">
        <f t="shared" si="2"/>
        <v>1259.7436184210528</v>
      </c>
      <c r="AC11" s="56">
        <f>+N11/15*7</f>
        <v>5.7773333333333339</v>
      </c>
      <c r="AD11" s="57">
        <f t="shared" si="3"/>
        <v>6.4000000000000001E-2</v>
      </c>
      <c r="AE11" s="46"/>
      <c r="AF11" s="46"/>
    </row>
    <row r="12" spans="1:32" ht="28.9">
      <c r="A12" s="89"/>
      <c r="B12" s="88" t="s">
        <v>20</v>
      </c>
      <c r="C12" s="84" t="s">
        <v>21</v>
      </c>
      <c r="D12" s="85" t="s">
        <v>22</v>
      </c>
      <c r="E12" s="86" t="s">
        <v>23</v>
      </c>
      <c r="F12" s="88" t="s">
        <v>24</v>
      </c>
      <c r="G12" s="87" t="s">
        <v>25</v>
      </c>
      <c r="H12" s="88" t="s">
        <v>26</v>
      </c>
      <c r="I12" s="88" t="s">
        <v>27</v>
      </c>
      <c r="J12" s="88" t="s">
        <v>28</v>
      </c>
      <c r="L12" s="137">
        <v>5470.93</v>
      </c>
      <c r="M12" s="141">
        <f t="shared" si="4"/>
        <v>9614.66</v>
      </c>
      <c r="N12">
        <v>321.26</v>
      </c>
      <c r="O12" s="57">
        <v>0.10879999999999999</v>
      </c>
      <c r="P12" s="43"/>
      <c r="Q12" s="100">
        <f>(L12/30.4)*15</f>
        <v>2699.4720394736846</v>
      </c>
      <c r="R12" s="56">
        <f t="shared" si="5"/>
        <v>4744.0705921052631</v>
      </c>
      <c r="S12" s="56">
        <f t="shared" ref="S12:S21" si="8">(N12/30.4)*15</f>
        <v>158.51644736842104</v>
      </c>
      <c r="T12" s="99">
        <f>+O12</f>
        <v>0.10879999999999999</v>
      </c>
      <c r="U12" s="58"/>
      <c r="V12" s="100">
        <f t="shared" si="6"/>
        <v>2519.5072368421056</v>
      </c>
      <c r="W12" s="56">
        <f t="shared" si="0"/>
        <v>4427.7985526315788</v>
      </c>
      <c r="X12" s="56">
        <f t="shared" si="7"/>
        <v>147.94868421052632</v>
      </c>
      <c r="Y12" s="99">
        <f t="shared" si="1"/>
        <v>0.10879999999999999</v>
      </c>
      <c r="Z12" s="58"/>
      <c r="AA12" s="139">
        <f t="shared" ref="AA12:AA21" si="9">+(L12/30.4)*7</f>
        <v>1259.7536184210528</v>
      </c>
      <c r="AB12" s="56">
        <f t="shared" si="2"/>
        <v>2213.8942763157893</v>
      </c>
      <c r="AC12" s="56">
        <f t="shared" ref="AC12:AC19" si="10">+N12/15*7</f>
        <v>149.92133333333334</v>
      </c>
      <c r="AD12" s="57">
        <f t="shared" si="3"/>
        <v>0.10879999999999999</v>
      </c>
      <c r="AE12" s="46"/>
      <c r="AF12" s="46"/>
    </row>
    <row r="13" spans="1:32" ht="14.45">
      <c r="A13" s="73" t="s">
        <v>61</v>
      </c>
      <c r="B13" s="35">
        <f>RWB!D14-(G2*90)</f>
        <v>-8065.8</v>
      </c>
      <c r="C13" s="36" t="e">
        <f>VLOOKUP(B13,$L$10:$O$21,1)</f>
        <v>#N/A</v>
      </c>
      <c r="D13" s="37" t="e">
        <f>+B13-C13</f>
        <v>#N/A</v>
      </c>
      <c r="E13" s="38" t="e">
        <f>VLOOKUP(B13,$L$10:$O$21,4)</f>
        <v>#N/A</v>
      </c>
      <c r="F13" s="37" t="e">
        <f>+D13*E13</f>
        <v>#N/A</v>
      </c>
      <c r="G13" s="39" t="e">
        <f>VLOOKUP(B13,$L$10:$O$21,3)</f>
        <v>#N/A</v>
      </c>
      <c r="H13" s="39" t="e">
        <f>F13+G13</f>
        <v>#N/A</v>
      </c>
      <c r="I13" s="37"/>
      <c r="J13" s="37" t="e">
        <f>H13-I13</f>
        <v>#N/A</v>
      </c>
      <c r="L13" s="137">
        <v>9614.67</v>
      </c>
      <c r="M13" s="141">
        <f t="shared" si="4"/>
        <v>11176.619999999999</v>
      </c>
      <c r="N13" s="144">
        <v>772.1</v>
      </c>
      <c r="O13" s="57">
        <v>0.16</v>
      </c>
      <c r="P13" s="43"/>
      <c r="Q13" s="100">
        <f t="shared" ref="Q13:Q19" si="11">(L13/30.4)*15</f>
        <v>4744.0805921052633</v>
      </c>
      <c r="R13" s="56">
        <f t="shared" si="5"/>
        <v>5514.7745394736839</v>
      </c>
      <c r="S13" s="56">
        <f t="shared" si="8"/>
        <v>380.97039473684214</v>
      </c>
      <c r="T13" s="99">
        <f>+O13</f>
        <v>0.16</v>
      </c>
      <c r="U13" s="58"/>
      <c r="V13" s="100">
        <f t="shared" si="6"/>
        <v>4427.808552631579</v>
      </c>
      <c r="W13" s="56">
        <f t="shared" si="0"/>
        <v>5147.1222368421049</v>
      </c>
      <c r="X13" s="56">
        <f t="shared" si="7"/>
        <v>355.57236842105266</v>
      </c>
      <c r="Y13" s="99">
        <f t="shared" si="1"/>
        <v>0.16</v>
      </c>
      <c r="Z13" s="58"/>
      <c r="AA13" s="139">
        <f t="shared" si="9"/>
        <v>2213.9042763157895</v>
      </c>
      <c r="AB13" s="56">
        <f t="shared" si="2"/>
        <v>2573.5561184210524</v>
      </c>
      <c r="AC13" s="56">
        <f t="shared" si="10"/>
        <v>360.31333333333333</v>
      </c>
      <c r="AD13" s="57">
        <f t="shared" si="3"/>
        <v>0.16</v>
      </c>
      <c r="AE13" s="46"/>
      <c r="AF13" s="46"/>
    </row>
    <row r="14" spans="1:32" ht="14.45">
      <c r="A14" s="73" t="s">
        <v>62</v>
      </c>
      <c r="B14" s="35">
        <f>(RWB!D15-90*G2)</f>
        <v>-8019.2136986301375</v>
      </c>
      <c r="C14" s="36" t="e">
        <f>VLOOKUP(B14,$L$10:$O$21,1)</f>
        <v>#N/A</v>
      </c>
      <c r="D14" s="37" t="e">
        <f>+B14-C14</f>
        <v>#N/A</v>
      </c>
      <c r="E14" s="38" t="e">
        <f>VLOOKUP(B14,$L$10:$O$21,4)</f>
        <v>#N/A</v>
      </c>
      <c r="F14" s="37" t="e">
        <f>+D14*E14</f>
        <v>#N/A</v>
      </c>
      <c r="G14" s="39" t="e">
        <f>VLOOKUP(B14,$L$10:$O$21,3)</f>
        <v>#N/A</v>
      </c>
      <c r="H14" s="39" t="e">
        <f>F14+G14</f>
        <v>#N/A</v>
      </c>
      <c r="I14" s="37"/>
      <c r="J14" s="37" t="e">
        <f>H14-I14</f>
        <v>#N/A</v>
      </c>
      <c r="L14" s="137">
        <v>11176.63</v>
      </c>
      <c r="M14" s="141">
        <f t="shared" si="4"/>
        <v>13381.47</v>
      </c>
      <c r="N14" s="142">
        <v>1022.01</v>
      </c>
      <c r="O14" s="57">
        <v>0.1792</v>
      </c>
      <c r="P14" s="43"/>
      <c r="Q14" s="100">
        <f t="shared" si="11"/>
        <v>5514.7845394736842</v>
      </c>
      <c r="R14" s="56">
        <f t="shared" si="5"/>
        <v>6602.6939473684206</v>
      </c>
      <c r="S14" s="56">
        <f t="shared" si="8"/>
        <v>504.28125</v>
      </c>
      <c r="T14" s="99">
        <f>+O14</f>
        <v>0.1792</v>
      </c>
      <c r="U14" s="58"/>
      <c r="V14" s="100">
        <f t="shared" si="6"/>
        <v>5147.1322368421052</v>
      </c>
      <c r="W14" s="56">
        <f t="shared" si="0"/>
        <v>6162.5136842105258</v>
      </c>
      <c r="X14" s="56">
        <f t="shared" si="7"/>
        <v>470.66249999999997</v>
      </c>
      <c r="Y14" s="99">
        <f t="shared" si="1"/>
        <v>0.1792</v>
      </c>
      <c r="Z14" s="58"/>
      <c r="AA14" s="139">
        <f t="shared" si="9"/>
        <v>2573.5661184210526</v>
      </c>
      <c r="AB14" s="56">
        <f t="shared" si="2"/>
        <v>3081.2518421052628</v>
      </c>
      <c r="AC14" s="56">
        <f t="shared" si="10"/>
        <v>476.93799999999999</v>
      </c>
      <c r="AD14" s="57">
        <f t="shared" si="3"/>
        <v>0.1792</v>
      </c>
      <c r="AE14" s="46"/>
      <c r="AF14" s="46"/>
    </row>
    <row r="15" spans="1:32" ht="14.45">
      <c r="A15" s="73" t="s">
        <v>63</v>
      </c>
      <c r="B15" s="35">
        <f>(RWB!D16-90*G2)</f>
        <v>-8065.8</v>
      </c>
      <c r="C15" s="36" t="e">
        <f>VLOOKUP(B15,$L$10:$O$21,1)</f>
        <v>#N/A</v>
      </c>
      <c r="D15" s="37" t="e">
        <f>+B15-C15</f>
        <v>#N/A</v>
      </c>
      <c r="E15" s="38" t="e">
        <f>VLOOKUP(B15,$L$10:$O$21,4)</f>
        <v>#N/A</v>
      </c>
      <c r="F15" s="37" t="e">
        <f>+D15*E15</f>
        <v>#N/A</v>
      </c>
      <c r="G15" s="39" t="e">
        <f>VLOOKUP(B15,$L$10:$O$21,3)</f>
        <v>#N/A</v>
      </c>
      <c r="H15" s="39" t="e">
        <f>F15+G15</f>
        <v>#N/A</v>
      </c>
      <c r="I15" s="37"/>
      <c r="J15" s="37" t="e">
        <f>H15-I15</f>
        <v>#N/A</v>
      </c>
      <c r="L15" s="100">
        <v>13381.48</v>
      </c>
      <c r="M15" s="141">
        <f t="shared" si="4"/>
        <v>26988.5</v>
      </c>
      <c r="N15" s="142">
        <v>1417.12</v>
      </c>
      <c r="O15" s="57">
        <v>0.21360000000000001</v>
      </c>
      <c r="P15" s="43"/>
      <c r="Q15" s="100">
        <f t="shared" si="11"/>
        <v>6602.7039473684208</v>
      </c>
      <c r="R15" s="56">
        <f t="shared" si="5"/>
        <v>13316.689013157895</v>
      </c>
      <c r="S15" s="56">
        <f t="shared" si="8"/>
        <v>699.23684210526312</v>
      </c>
      <c r="T15" s="99">
        <v>0.21360000000000001</v>
      </c>
      <c r="U15" s="58"/>
      <c r="V15" s="100">
        <f t="shared" si="6"/>
        <v>6162.523684210526</v>
      </c>
      <c r="W15" s="56">
        <f t="shared" si="0"/>
        <v>12428.909078947368</v>
      </c>
      <c r="X15" s="56">
        <f t="shared" si="7"/>
        <v>652.62105263157889</v>
      </c>
      <c r="Y15" s="99">
        <f t="shared" si="1"/>
        <v>0.21360000000000001</v>
      </c>
      <c r="Z15" s="58"/>
      <c r="AA15" s="139">
        <f t="shared" si="9"/>
        <v>3081.261842105263</v>
      </c>
      <c r="AB15" s="56">
        <f t="shared" si="2"/>
        <v>6214.4495394736841</v>
      </c>
      <c r="AC15" s="56">
        <f t="shared" si="10"/>
        <v>661.32266666666669</v>
      </c>
      <c r="AD15" s="57">
        <f t="shared" si="3"/>
        <v>0.21360000000000001</v>
      </c>
      <c r="AE15" s="46"/>
      <c r="AF15" s="46"/>
    </row>
    <row r="16" spans="1:32" ht="14.45">
      <c r="A16" s="7"/>
      <c r="J16" s="10"/>
      <c r="L16" s="100">
        <v>26988.51</v>
      </c>
      <c r="M16" s="141">
        <f t="shared" si="4"/>
        <v>42537.579999999994</v>
      </c>
      <c r="N16" s="142">
        <v>4323.58</v>
      </c>
      <c r="O16" s="57">
        <v>0.23519999999999999</v>
      </c>
      <c r="P16" s="43"/>
      <c r="Q16" s="100">
        <f t="shared" si="11"/>
        <v>13316.699013157895</v>
      </c>
      <c r="R16" s="56">
        <f t="shared" si="5"/>
        <v>20988.932434210528</v>
      </c>
      <c r="S16" s="56">
        <f t="shared" si="8"/>
        <v>2133.3453947368421</v>
      </c>
      <c r="T16" s="99">
        <v>0.23519999999999999</v>
      </c>
      <c r="U16" s="58"/>
      <c r="V16" s="100">
        <f t="shared" si="6"/>
        <v>12428.919078947369</v>
      </c>
      <c r="W16" s="56">
        <f>+V17-0.01</f>
        <v>19589.66960526316</v>
      </c>
      <c r="X16" s="56">
        <f t="shared" si="7"/>
        <v>1991.1223684210527</v>
      </c>
      <c r="Y16" s="99">
        <f t="shared" si="1"/>
        <v>0.23519999999999999</v>
      </c>
      <c r="Z16" s="58"/>
      <c r="AA16" s="139">
        <f t="shared" si="9"/>
        <v>6214.4595394736843</v>
      </c>
      <c r="AB16" s="56">
        <f t="shared" si="2"/>
        <v>9794.8298026315788</v>
      </c>
      <c r="AC16" s="56">
        <f t="shared" si="10"/>
        <v>2017.6706666666669</v>
      </c>
      <c r="AD16" s="57">
        <f t="shared" si="3"/>
        <v>0.23519999999999999</v>
      </c>
      <c r="AE16" s="46"/>
      <c r="AF16" s="46"/>
    </row>
    <row r="17" spans="1:32" ht="14.45">
      <c r="B17" s="105" t="s">
        <v>64</v>
      </c>
      <c r="C17" s="106">
        <f>G2*15</f>
        <v>1344.3000000000002</v>
      </c>
      <c r="L17" s="100">
        <v>42537.59</v>
      </c>
      <c r="M17" s="141">
        <f t="shared" si="4"/>
        <v>81211.25</v>
      </c>
      <c r="N17" s="142">
        <v>7980.73</v>
      </c>
      <c r="O17" s="57">
        <v>0.3</v>
      </c>
      <c r="P17" s="43"/>
      <c r="Q17" s="100">
        <f t="shared" si="11"/>
        <v>20988.942434210527</v>
      </c>
      <c r="R17" s="56">
        <f t="shared" si="5"/>
        <v>40071.335394736838</v>
      </c>
      <c r="S17" s="56">
        <f t="shared" si="8"/>
        <v>3937.8601973684208</v>
      </c>
      <c r="T17" s="99">
        <v>0.3</v>
      </c>
      <c r="U17" s="58"/>
      <c r="V17" s="100">
        <f t="shared" si="6"/>
        <v>19589.679605263158</v>
      </c>
      <c r="W17" s="56">
        <f>+V18-0.01</f>
        <v>37399.91236842105</v>
      </c>
      <c r="X17" s="56">
        <f t="shared" si="7"/>
        <v>3675.336184210526</v>
      </c>
      <c r="Y17" s="99">
        <f t="shared" si="1"/>
        <v>0.3</v>
      </c>
      <c r="Z17" s="58"/>
      <c r="AA17" s="139">
        <f t="shared" si="9"/>
        <v>9794.839802631579</v>
      </c>
      <c r="AB17" s="56">
        <f t="shared" si="2"/>
        <v>18699.951184210528</v>
      </c>
      <c r="AC17" s="56">
        <f t="shared" si="10"/>
        <v>3724.3406666666669</v>
      </c>
      <c r="AD17" s="57">
        <f t="shared" si="3"/>
        <v>0.3</v>
      </c>
      <c r="AE17" s="46"/>
      <c r="AF17" s="46"/>
    </row>
    <row r="18" spans="1:32" ht="14.45">
      <c r="B18" s="105" t="s">
        <v>65</v>
      </c>
      <c r="C18" s="106">
        <f>30*G2</f>
        <v>2688.6000000000004</v>
      </c>
      <c r="L18" s="100">
        <v>81211.259999999995</v>
      </c>
      <c r="M18" s="141">
        <f t="shared" si="4"/>
        <v>108281.67</v>
      </c>
      <c r="N18" s="142">
        <v>19582.830000000002</v>
      </c>
      <c r="O18" s="57">
        <v>0.32</v>
      </c>
      <c r="P18" s="43"/>
      <c r="Q18" s="100">
        <f t="shared" si="11"/>
        <v>40071.34539473684</v>
      </c>
      <c r="R18" s="56">
        <f t="shared" si="5"/>
        <v>53428.450526315792</v>
      </c>
      <c r="S18" s="56">
        <f t="shared" si="8"/>
        <v>9662.5805921052652</v>
      </c>
      <c r="T18" s="99">
        <v>0.32</v>
      </c>
      <c r="U18" s="58"/>
      <c r="V18" s="100">
        <f t="shared" si="6"/>
        <v>37399.922368421052</v>
      </c>
      <c r="W18" s="56">
        <f>+V19-0.01</f>
        <v>49866.553157894734</v>
      </c>
      <c r="X18" s="56">
        <f t="shared" si="7"/>
        <v>9018.4085526315812</v>
      </c>
      <c r="Y18" s="99">
        <f t="shared" si="1"/>
        <v>0.32</v>
      </c>
      <c r="Z18" s="58"/>
      <c r="AA18" s="139">
        <f t="shared" si="9"/>
        <v>18699.961184210526</v>
      </c>
      <c r="AB18" s="56">
        <f t="shared" si="2"/>
        <v>24933.27157894737</v>
      </c>
      <c r="AC18" s="56">
        <f t="shared" si="10"/>
        <v>9138.6540000000005</v>
      </c>
      <c r="AD18" s="57">
        <f t="shared" si="3"/>
        <v>0.32</v>
      </c>
      <c r="AE18" s="46"/>
      <c r="AF18" s="46"/>
    </row>
    <row r="19" spans="1:32" ht="14.45">
      <c r="B19" s="105" t="s">
        <v>66</v>
      </c>
      <c r="C19" s="106">
        <f>90*G2</f>
        <v>8065.8</v>
      </c>
      <c r="L19" s="100">
        <v>108281.68</v>
      </c>
      <c r="M19" s="141">
        <f>+L21-0.01</f>
        <v>324845.01</v>
      </c>
      <c r="N19" s="142">
        <v>28245.360000000001</v>
      </c>
      <c r="O19" s="57">
        <v>0.34</v>
      </c>
      <c r="P19" s="43"/>
      <c r="Q19" s="100">
        <f t="shared" si="11"/>
        <v>53428.460526315794</v>
      </c>
      <c r="R19" s="56">
        <f>+Q21-0.01</f>
        <v>160285.36171052634</v>
      </c>
      <c r="S19" s="56">
        <f t="shared" si="8"/>
        <v>13936.855263157895</v>
      </c>
      <c r="T19" s="99">
        <v>0.34</v>
      </c>
      <c r="U19" s="58"/>
      <c r="V19" s="100">
        <f t="shared" si="6"/>
        <v>49866.563157894736</v>
      </c>
      <c r="W19" s="56">
        <f>+V21-0.01</f>
        <v>149599.67026315792</v>
      </c>
      <c r="X19" s="56">
        <f t="shared" si="7"/>
        <v>13007.731578947369</v>
      </c>
      <c r="Y19" s="99">
        <f t="shared" si="1"/>
        <v>0.34</v>
      </c>
      <c r="Z19" s="58"/>
      <c r="AA19" s="139">
        <f t="shared" si="9"/>
        <v>24933.281578947368</v>
      </c>
      <c r="AB19" s="56">
        <f>+AA21-0.01</f>
        <v>74799.830131578972</v>
      </c>
      <c r="AC19" s="56">
        <f t="shared" si="10"/>
        <v>13181.168000000001</v>
      </c>
      <c r="AD19" s="57">
        <f t="shared" si="3"/>
        <v>0.34</v>
      </c>
      <c r="AE19" s="46"/>
      <c r="AF19" s="46"/>
    </row>
    <row r="20" spans="1:32" ht="13.15">
      <c r="A20" s="104"/>
      <c r="L20" s="98"/>
      <c r="M20" s="141"/>
      <c r="N20" s="141"/>
      <c r="O20" s="57"/>
      <c r="P20" s="43"/>
      <c r="U20" s="58"/>
      <c r="V20" s="100"/>
      <c r="W20" s="56"/>
      <c r="X20" s="56"/>
      <c r="Y20" s="99"/>
      <c r="Z20" s="58"/>
      <c r="AA20" s="140"/>
      <c r="AE20" s="46"/>
      <c r="AF20" s="46"/>
    </row>
    <row r="21" spans="1:32" ht="15">
      <c r="L21" s="100">
        <v>324845.02</v>
      </c>
      <c r="M21" s="143" t="s">
        <v>41</v>
      </c>
      <c r="N21" s="142">
        <v>101876.9</v>
      </c>
      <c r="O21" s="57">
        <v>0.35</v>
      </c>
      <c r="P21" s="43"/>
      <c r="Q21" s="100">
        <f>(L21/30.4)*15</f>
        <v>160285.37171052635</v>
      </c>
      <c r="R21" s="56">
        <v>9999999</v>
      </c>
      <c r="S21" s="56">
        <f t="shared" si="8"/>
        <v>50268.207236842107</v>
      </c>
      <c r="T21" s="99">
        <v>0.35</v>
      </c>
      <c r="U21" s="58"/>
      <c r="V21" s="100">
        <f>(L21/30.4)*14</f>
        <v>149599.68026315793</v>
      </c>
      <c r="W21" s="56">
        <v>9999999</v>
      </c>
      <c r="X21" s="56">
        <f>(N21/30.4)*14</f>
        <v>46916.993421052633</v>
      </c>
      <c r="Y21" s="99">
        <f>+O21</f>
        <v>0.35</v>
      </c>
      <c r="Z21" s="58"/>
      <c r="AA21" s="139">
        <f t="shared" si="9"/>
        <v>74799.840131578967</v>
      </c>
      <c r="AB21" s="56">
        <v>9999999</v>
      </c>
      <c r="AC21" s="56">
        <f>+N21/15*7</f>
        <v>47542.55333333333</v>
      </c>
      <c r="AD21" s="57">
        <f>+T21</f>
        <v>0.35</v>
      </c>
      <c r="AE21" s="46"/>
      <c r="AF21" s="46"/>
    </row>
    <row r="22" spans="1:32" ht="13.15">
      <c r="L22" s="60"/>
      <c r="M22" s="61"/>
      <c r="N22" s="61"/>
      <c r="O22" s="62"/>
      <c r="P22" s="43"/>
      <c r="Q22" s="101"/>
      <c r="R22" s="102"/>
      <c r="S22" s="102"/>
      <c r="T22" s="103"/>
      <c r="U22" s="58"/>
      <c r="V22" s="101"/>
      <c r="W22" s="102"/>
      <c r="X22" s="102"/>
      <c r="Y22" s="103"/>
      <c r="Z22" s="58"/>
      <c r="AA22" s="60"/>
      <c r="AB22" s="61"/>
      <c r="AC22" s="61"/>
      <c r="AD22" s="62"/>
      <c r="AE22" s="46"/>
      <c r="AF22" s="46"/>
    </row>
    <row r="23" spans="1:32" ht="13.15"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6"/>
      <c r="AF23" s="46"/>
    </row>
    <row r="24" spans="1:32" ht="13.15"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6"/>
      <c r="AF24" s="46"/>
    </row>
    <row r="25" spans="1:32" ht="13.15"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6"/>
      <c r="AF25" s="46"/>
    </row>
    <row r="26" spans="1:32" ht="13.15">
      <c r="L26" s="47" t="s">
        <v>42</v>
      </c>
      <c r="M26" s="43"/>
      <c r="N26" s="43"/>
      <c r="O26" s="43"/>
      <c r="P26" s="43"/>
      <c r="Q26" s="47" t="s">
        <v>42</v>
      </c>
      <c r="R26" s="43"/>
      <c r="S26" s="43"/>
      <c r="T26" s="43"/>
      <c r="U26" s="43"/>
      <c r="V26" s="47" t="s">
        <v>42</v>
      </c>
      <c r="W26" s="43"/>
      <c r="X26" s="43"/>
      <c r="Y26" s="43"/>
      <c r="Z26" s="43"/>
      <c r="AA26" s="47" t="s">
        <v>42</v>
      </c>
      <c r="AB26" s="43"/>
      <c r="AC26" s="43"/>
      <c r="AD26" s="43"/>
      <c r="AE26" s="46"/>
      <c r="AF26" s="46"/>
    </row>
    <row r="27" spans="1:32" ht="13.15">
      <c r="B27" s="75"/>
      <c r="C27" s="75"/>
      <c r="D27" s="75"/>
      <c r="E27" s="75"/>
      <c r="L27" s="48" t="s">
        <v>43</v>
      </c>
      <c r="M27" s="48" t="s">
        <v>44</v>
      </c>
      <c r="N27" s="49" t="s">
        <v>45</v>
      </c>
      <c r="O27" s="43"/>
      <c r="P27" s="43"/>
      <c r="Q27" s="48" t="s">
        <v>43</v>
      </c>
      <c r="R27" s="48" t="s">
        <v>44</v>
      </c>
      <c r="S27" s="49" t="s">
        <v>46</v>
      </c>
      <c r="T27" s="43"/>
      <c r="U27" s="43"/>
      <c r="V27" s="48" t="s">
        <v>43</v>
      </c>
      <c r="W27" s="48" t="s">
        <v>44</v>
      </c>
      <c r="X27" s="49" t="s">
        <v>46</v>
      </c>
      <c r="Y27" s="43"/>
      <c r="Z27" s="43"/>
      <c r="AA27" s="48" t="s">
        <v>43</v>
      </c>
      <c r="AB27" s="48" t="s">
        <v>44</v>
      </c>
      <c r="AC27" s="49" t="s">
        <v>46</v>
      </c>
      <c r="AD27" s="43"/>
      <c r="AE27" s="46"/>
      <c r="AF27" s="46"/>
    </row>
    <row r="28" spans="1:32" ht="13.15">
      <c r="B28" s="75"/>
      <c r="C28" s="75"/>
      <c r="D28" s="75"/>
      <c r="E28" s="75"/>
      <c r="L28" s="51" t="s">
        <v>47</v>
      </c>
      <c r="M28" s="51" t="s">
        <v>47</v>
      </c>
      <c r="N28" s="52" t="s">
        <v>48</v>
      </c>
      <c r="O28" s="43"/>
      <c r="P28" s="43"/>
      <c r="Q28" s="51" t="s">
        <v>47</v>
      </c>
      <c r="R28" s="51" t="s">
        <v>47</v>
      </c>
      <c r="S28" s="52" t="s">
        <v>49</v>
      </c>
      <c r="T28" s="43"/>
      <c r="U28" s="43"/>
      <c r="V28" s="51" t="s">
        <v>47</v>
      </c>
      <c r="W28" s="51" t="s">
        <v>47</v>
      </c>
      <c r="X28" s="52" t="s">
        <v>49</v>
      </c>
      <c r="Y28" s="43"/>
      <c r="Z28" s="43"/>
      <c r="AA28" s="51" t="s">
        <v>47</v>
      </c>
      <c r="AB28" s="51" t="s">
        <v>47</v>
      </c>
      <c r="AC28" s="52" t="s">
        <v>49</v>
      </c>
      <c r="AD28" s="43"/>
      <c r="AE28" s="46"/>
      <c r="AF28" s="46"/>
    </row>
    <row r="29" spans="1:32" ht="13.15">
      <c r="B29" s="76"/>
      <c r="C29" s="77"/>
      <c r="D29" s="77"/>
      <c r="E29" s="75"/>
      <c r="L29" s="53"/>
      <c r="M29" s="54"/>
      <c r="N29" s="55"/>
      <c r="O29" s="43"/>
      <c r="P29" s="43"/>
      <c r="Q29" s="53"/>
      <c r="R29" s="54"/>
      <c r="S29" s="55"/>
      <c r="T29" s="43"/>
      <c r="U29" s="43"/>
      <c r="V29" s="53"/>
      <c r="W29" s="54"/>
      <c r="X29" s="55"/>
      <c r="Y29" s="43"/>
      <c r="Z29" s="43"/>
      <c r="AA29" s="53"/>
      <c r="AB29" s="54"/>
      <c r="AC29" s="55"/>
      <c r="AD29" s="43"/>
      <c r="AE29" s="46"/>
      <c r="AF29" s="46"/>
    </row>
    <row r="30" spans="1:32" ht="13.15">
      <c r="B30" s="77"/>
      <c r="C30" s="78"/>
      <c r="D30" s="77"/>
      <c r="E30" s="75"/>
      <c r="L30" s="59">
        <v>0.01</v>
      </c>
      <c r="M30" s="56">
        <f t="shared" ref="M30:M39" si="12">+L31-0.01</f>
        <v>1768.96</v>
      </c>
      <c r="N30" s="63">
        <v>407.02</v>
      </c>
      <c r="O30" s="43"/>
      <c r="P30" s="43"/>
      <c r="Q30" s="59">
        <v>0.01</v>
      </c>
      <c r="R30" s="56">
        <f t="shared" ref="R30:R39" si="13">+Q31-0.01</f>
        <v>872.83703947368429</v>
      </c>
      <c r="S30" s="63">
        <f t="shared" ref="S30:S40" si="14">(N30/30.4)*15</f>
        <v>200.83223684210526</v>
      </c>
      <c r="T30" s="43"/>
      <c r="U30" s="43"/>
      <c r="V30" s="59">
        <v>0.01</v>
      </c>
      <c r="W30" s="56">
        <f t="shared" ref="W30:W39" si="15">+V31-0.01</f>
        <v>814.64723684210526</v>
      </c>
      <c r="X30" s="63">
        <f>(N30/30.4)*14</f>
        <v>187.44342105263158</v>
      </c>
      <c r="Y30" s="43"/>
      <c r="Z30" s="43"/>
      <c r="AA30" s="59">
        <v>0.01</v>
      </c>
      <c r="AB30" s="56">
        <f t="shared" ref="AB30:AB39" si="16">+AA31-0.01</f>
        <v>407.31861842105263</v>
      </c>
      <c r="AC30" s="63">
        <f>+S30/15*7</f>
        <v>93.721710526315789</v>
      </c>
      <c r="AD30" s="43"/>
      <c r="AE30" s="46"/>
      <c r="AF30" s="46"/>
    </row>
    <row r="31" spans="1:32" ht="13.15">
      <c r="B31" s="78"/>
      <c r="C31" s="78"/>
      <c r="D31" s="77"/>
      <c r="E31" s="75"/>
      <c r="L31" s="59">
        <v>1768.97</v>
      </c>
      <c r="M31" s="56">
        <f t="shared" si="12"/>
        <v>2653.3799999999997</v>
      </c>
      <c r="N31" s="63">
        <v>406.83</v>
      </c>
      <c r="O31" s="43"/>
      <c r="P31" s="43"/>
      <c r="Q31" s="59">
        <f t="shared" ref="Q31:Q40" si="17">(L31/30.4)*15</f>
        <v>872.84703947368428</v>
      </c>
      <c r="R31" s="56">
        <f t="shared" si="13"/>
        <v>1309.2284868421052</v>
      </c>
      <c r="S31" s="63">
        <f t="shared" si="14"/>
        <v>200.73848684210526</v>
      </c>
      <c r="T31" s="43"/>
      <c r="U31" s="43"/>
      <c r="V31" s="59">
        <f>(L31/30.4)*14</f>
        <v>814.65723684210525</v>
      </c>
      <c r="W31" s="56">
        <f t="shared" si="15"/>
        <v>1221.9459210526315</v>
      </c>
      <c r="X31" s="63">
        <f t="shared" ref="X31:X39" si="18">(N31/30.4)*14</f>
        <v>187.35592105263157</v>
      </c>
      <c r="Y31" s="43"/>
      <c r="Z31" s="43"/>
      <c r="AA31" s="59">
        <f>+Q31/15*7</f>
        <v>407.32861842105262</v>
      </c>
      <c r="AB31" s="56">
        <f t="shared" si="16"/>
        <v>610.96796052631578</v>
      </c>
      <c r="AC31" s="63">
        <f t="shared" ref="AC31:AC40" si="19">+S31/15*7</f>
        <v>93.677960526315786</v>
      </c>
      <c r="AD31" s="43"/>
      <c r="AE31" s="46"/>
      <c r="AF31" s="46"/>
    </row>
    <row r="32" spans="1:32" ht="13.15">
      <c r="B32" s="9"/>
      <c r="C32" s="9"/>
      <c r="D32" s="8"/>
      <c r="L32" s="59">
        <v>2653.39</v>
      </c>
      <c r="M32" s="56">
        <f t="shared" si="12"/>
        <v>3472.8399999999997</v>
      </c>
      <c r="N32" s="63">
        <v>406.62</v>
      </c>
      <c r="O32" s="43"/>
      <c r="P32" s="43"/>
      <c r="Q32" s="59">
        <f t="shared" si="17"/>
        <v>1309.2384868421052</v>
      </c>
      <c r="R32" s="56">
        <f t="shared" si="13"/>
        <v>1713.567302631579</v>
      </c>
      <c r="S32" s="63">
        <f t="shared" si="14"/>
        <v>200.63486842105266</v>
      </c>
      <c r="T32" s="43"/>
      <c r="U32" s="43"/>
      <c r="V32" s="59">
        <f t="shared" ref="V32:V40" si="20">(L32/30.4)*14</f>
        <v>1221.9559210526315</v>
      </c>
      <c r="W32" s="56">
        <f t="shared" si="15"/>
        <v>1599.3288157894738</v>
      </c>
      <c r="X32" s="63">
        <f t="shared" si="18"/>
        <v>187.2592105263158</v>
      </c>
      <c r="Y32" s="43"/>
      <c r="Z32" s="43"/>
      <c r="AA32" s="59">
        <f t="shared" ref="AA32:AA40" si="21">+Q32/15*7</f>
        <v>610.97796052631577</v>
      </c>
      <c r="AB32" s="56">
        <f t="shared" si="16"/>
        <v>799.65940789473689</v>
      </c>
      <c r="AC32" s="63">
        <f t="shared" si="19"/>
        <v>93.629605263157899</v>
      </c>
      <c r="AD32" s="43"/>
      <c r="AE32" s="46"/>
      <c r="AF32" s="46"/>
    </row>
    <row r="33" spans="2:32" ht="13.15">
      <c r="B33" s="9"/>
      <c r="C33" s="9"/>
      <c r="D33" s="8"/>
      <c r="L33" s="59">
        <v>3472.85</v>
      </c>
      <c r="M33" s="56">
        <f t="shared" si="12"/>
        <v>3537.87</v>
      </c>
      <c r="N33" s="63">
        <v>392.77</v>
      </c>
      <c r="O33" s="43"/>
      <c r="P33" s="43"/>
      <c r="Q33" s="59">
        <f t="shared" si="17"/>
        <v>1713.577302631579</v>
      </c>
      <c r="R33" s="56">
        <f t="shared" si="13"/>
        <v>1745.6544736842106</v>
      </c>
      <c r="S33" s="63">
        <f t="shared" si="14"/>
        <v>193.80098684210526</v>
      </c>
      <c r="T33" s="43"/>
      <c r="U33" s="43"/>
      <c r="V33" s="59">
        <f t="shared" si="20"/>
        <v>1599.3388157894738</v>
      </c>
      <c r="W33" s="56">
        <f t="shared" si="15"/>
        <v>1629.2768421052633</v>
      </c>
      <c r="X33" s="63">
        <f t="shared" si="18"/>
        <v>180.88092105263158</v>
      </c>
      <c r="Y33" s="43"/>
      <c r="Z33" s="43"/>
      <c r="AA33" s="59">
        <f t="shared" si="21"/>
        <v>799.66940789473688</v>
      </c>
      <c r="AB33" s="56">
        <f t="shared" si="16"/>
        <v>814.63342105263166</v>
      </c>
      <c r="AC33" s="63">
        <f t="shared" si="19"/>
        <v>90.440460526315789</v>
      </c>
      <c r="AD33" s="43"/>
      <c r="AE33" s="46"/>
      <c r="AF33" s="46"/>
    </row>
    <row r="34" spans="2:32" ht="13.15">
      <c r="B34" s="9"/>
      <c r="C34" s="9"/>
      <c r="D34" s="9"/>
      <c r="L34" s="59">
        <v>3537.88</v>
      </c>
      <c r="M34" s="56">
        <f t="shared" si="12"/>
        <v>4446.1499999999996</v>
      </c>
      <c r="N34" s="63">
        <v>382.46</v>
      </c>
      <c r="O34" s="43"/>
      <c r="P34" s="43"/>
      <c r="Q34" s="59">
        <f t="shared" si="17"/>
        <v>1745.6644736842106</v>
      </c>
      <c r="R34" s="56">
        <f t="shared" si="13"/>
        <v>2193.818947368421</v>
      </c>
      <c r="S34" s="63">
        <f t="shared" si="14"/>
        <v>188.7138157894737</v>
      </c>
      <c r="T34" s="43"/>
      <c r="U34" s="43"/>
      <c r="V34" s="59">
        <f t="shared" si="20"/>
        <v>1629.2868421052633</v>
      </c>
      <c r="W34" s="56">
        <f t="shared" si="15"/>
        <v>2047.5636842105264</v>
      </c>
      <c r="X34" s="63">
        <f t="shared" si="18"/>
        <v>176.1328947368421</v>
      </c>
      <c r="Y34" s="43"/>
      <c r="Z34" s="43"/>
      <c r="AA34" s="59">
        <f t="shared" si="21"/>
        <v>814.64342105263165</v>
      </c>
      <c r="AB34" s="56">
        <f t="shared" si="16"/>
        <v>1023.7768421052632</v>
      </c>
      <c r="AC34" s="63">
        <f t="shared" si="19"/>
        <v>88.066447368421052</v>
      </c>
      <c r="AD34" s="43"/>
      <c r="AE34" s="46"/>
      <c r="AF34" s="46"/>
    </row>
    <row r="35" spans="2:32" ht="13.15">
      <c r="B35" s="78"/>
      <c r="C35" s="78"/>
      <c r="D35" s="78"/>
      <c r="E35" s="75"/>
      <c r="F35" s="75"/>
      <c r="L35" s="59">
        <v>4446.16</v>
      </c>
      <c r="M35" s="56">
        <f t="shared" si="12"/>
        <v>4717.1799999999994</v>
      </c>
      <c r="N35" s="63">
        <v>354.23</v>
      </c>
      <c r="O35" s="43"/>
      <c r="P35" s="43"/>
      <c r="Q35" s="59">
        <f t="shared" si="17"/>
        <v>2193.8289473684213</v>
      </c>
      <c r="R35" s="56">
        <f t="shared" si="13"/>
        <v>2327.5508552631577</v>
      </c>
      <c r="S35" s="63">
        <f t="shared" si="14"/>
        <v>174.78453947368422</v>
      </c>
      <c r="T35" s="43"/>
      <c r="U35" s="43"/>
      <c r="V35" s="59">
        <f t="shared" si="20"/>
        <v>2047.5736842105264</v>
      </c>
      <c r="W35" s="56">
        <f t="shared" si="15"/>
        <v>2172.3801315789469</v>
      </c>
      <c r="X35" s="63">
        <f t="shared" si="18"/>
        <v>163.13223684210527</v>
      </c>
      <c r="Y35" s="43"/>
      <c r="Z35" s="43"/>
      <c r="AA35" s="59">
        <f t="shared" si="21"/>
        <v>1023.7868421052632</v>
      </c>
      <c r="AB35" s="56">
        <f t="shared" si="16"/>
        <v>1086.1850657894736</v>
      </c>
      <c r="AC35" s="63">
        <f t="shared" si="19"/>
        <v>81.566118421052636</v>
      </c>
      <c r="AD35" s="43"/>
      <c r="AE35" s="46"/>
      <c r="AF35" s="46"/>
    </row>
    <row r="36" spans="2:32" ht="13.15">
      <c r="B36" s="78"/>
      <c r="C36" s="78"/>
      <c r="D36" s="78"/>
      <c r="E36" s="75"/>
      <c r="F36" s="75"/>
      <c r="L36" s="59">
        <v>4717.1899999999996</v>
      </c>
      <c r="M36" s="56">
        <f t="shared" si="12"/>
        <v>5335.42</v>
      </c>
      <c r="N36" s="63">
        <v>324.87</v>
      </c>
      <c r="O36" s="43"/>
      <c r="P36" s="43"/>
      <c r="Q36" s="59">
        <f t="shared" si="17"/>
        <v>2327.5608552631579</v>
      </c>
      <c r="R36" s="56">
        <f t="shared" si="13"/>
        <v>2632.6034868421052</v>
      </c>
      <c r="S36" s="63">
        <f t="shared" si="14"/>
        <v>160.29769736842104</v>
      </c>
      <c r="T36" s="43"/>
      <c r="U36" s="43"/>
      <c r="V36" s="59">
        <f t="shared" si="20"/>
        <v>2172.3901315789471</v>
      </c>
      <c r="W36" s="56">
        <f t="shared" si="15"/>
        <v>2457.0959210526316</v>
      </c>
      <c r="X36" s="63">
        <f t="shared" si="18"/>
        <v>149.61118421052632</v>
      </c>
      <c r="Y36" s="43"/>
      <c r="Z36" s="43"/>
      <c r="AA36" s="59">
        <f t="shared" si="21"/>
        <v>1086.1950657894736</v>
      </c>
      <c r="AB36" s="56">
        <f t="shared" si="16"/>
        <v>1228.5429605263159</v>
      </c>
      <c r="AC36" s="63">
        <f t="shared" si="19"/>
        <v>74.805592105263145</v>
      </c>
      <c r="AD36" s="43"/>
      <c r="AE36" s="46"/>
      <c r="AF36" s="46"/>
    </row>
    <row r="37" spans="2:32" ht="13.15">
      <c r="B37" s="78"/>
      <c r="C37" s="78"/>
      <c r="D37" s="78"/>
      <c r="E37" s="75"/>
      <c r="F37" s="75"/>
      <c r="L37" s="59">
        <v>5335.43</v>
      </c>
      <c r="M37" s="56">
        <f t="shared" si="12"/>
        <v>6224.67</v>
      </c>
      <c r="N37" s="63">
        <v>294.63</v>
      </c>
      <c r="O37" s="43"/>
      <c r="P37" s="43"/>
      <c r="Q37" s="59">
        <f t="shared" si="17"/>
        <v>2632.6134868421054</v>
      </c>
      <c r="R37" s="56">
        <f t="shared" si="13"/>
        <v>3071.3781578947369</v>
      </c>
      <c r="S37" s="63">
        <f t="shared" si="14"/>
        <v>145.37664473684211</v>
      </c>
      <c r="T37" s="43"/>
      <c r="U37" s="43"/>
      <c r="V37" s="59">
        <f t="shared" si="20"/>
        <v>2457.1059210526319</v>
      </c>
      <c r="W37" s="56">
        <f t="shared" si="15"/>
        <v>2866.6189473684208</v>
      </c>
      <c r="X37" s="63">
        <f t="shared" si="18"/>
        <v>135.68486842105264</v>
      </c>
      <c r="Y37" s="43"/>
      <c r="Z37" s="43"/>
      <c r="AA37" s="59">
        <f t="shared" si="21"/>
        <v>1228.5529605263159</v>
      </c>
      <c r="AB37" s="56">
        <f t="shared" si="16"/>
        <v>1433.3044736842105</v>
      </c>
      <c r="AC37" s="63">
        <f t="shared" si="19"/>
        <v>67.842434210526321</v>
      </c>
      <c r="AD37" s="43"/>
      <c r="AE37" s="46"/>
      <c r="AF37" s="46"/>
    </row>
    <row r="38" spans="2:32" ht="13.15">
      <c r="B38" s="78"/>
      <c r="C38" s="78"/>
      <c r="D38" s="78"/>
      <c r="E38" s="75"/>
      <c r="F38" s="75"/>
      <c r="L38" s="59">
        <v>6224.68</v>
      </c>
      <c r="M38" s="56">
        <f t="shared" si="12"/>
        <v>7113.9</v>
      </c>
      <c r="N38" s="63">
        <v>253.54</v>
      </c>
      <c r="O38" s="43"/>
      <c r="P38" s="43"/>
      <c r="Q38" s="59">
        <f t="shared" si="17"/>
        <v>3071.3881578947371</v>
      </c>
      <c r="R38" s="56">
        <f t="shared" si="13"/>
        <v>3510.1429605263156</v>
      </c>
      <c r="S38" s="63">
        <f t="shared" si="14"/>
        <v>125.10197368421052</v>
      </c>
      <c r="T38" s="43"/>
      <c r="U38" s="43"/>
      <c r="V38" s="59">
        <f t="shared" si="20"/>
        <v>2866.628947368421</v>
      </c>
      <c r="W38" s="56">
        <f t="shared" si="15"/>
        <v>3276.1327631578943</v>
      </c>
      <c r="X38" s="63">
        <f t="shared" si="18"/>
        <v>116.76184210526316</v>
      </c>
      <c r="Y38" s="43"/>
      <c r="Z38" s="43"/>
      <c r="AA38" s="59">
        <f t="shared" si="21"/>
        <v>1433.3144736842105</v>
      </c>
      <c r="AB38" s="56">
        <f t="shared" si="16"/>
        <v>1638.0613815789472</v>
      </c>
      <c r="AC38" s="63">
        <f t="shared" si="19"/>
        <v>58.380921052631578</v>
      </c>
      <c r="AD38" s="43"/>
      <c r="AE38" s="46"/>
      <c r="AF38" s="46"/>
    </row>
    <row r="39" spans="2:32" ht="13.15">
      <c r="B39" s="78"/>
      <c r="C39" s="79"/>
      <c r="D39" s="78"/>
      <c r="E39" s="75"/>
      <c r="F39" s="75"/>
      <c r="L39" s="59">
        <v>7113.91</v>
      </c>
      <c r="M39" s="56">
        <f t="shared" si="12"/>
        <v>7382.33</v>
      </c>
      <c r="N39" s="63">
        <v>217.61</v>
      </c>
      <c r="O39" s="43"/>
      <c r="P39" s="43"/>
      <c r="Q39" s="59">
        <f t="shared" si="17"/>
        <v>3510.1529605263158</v>
      </c>
      <c r="R39" s="56">
        <f t="shared" si="13"/>
        <v>3642.5919736842106</v>
      </c>
      <c r="S39" s="63">
        <f t="shared" si="14"/>
        <v>107.3733552631579</v>
      </c>
      <c r="T39" s="43"/>
      <c r="U39" s="43"/>
      <c r="V39" s="59">
        <f t="shared" si="20"/>
        <v>3276.1427631578945</v>
      </c>
      <c r="W39" s="56">
        <f t="shared" si="15"/>
        <v>3399.7518421052632</v>
      </c>
      <c r="X39" s="63">
        <f t="shared" si="18"/>
        <v>100.21513157894738</v>
      </c>
      <c r="Y39" s="43"/>
      <c r="Z39" s="43"/>
      <c r="AA39" s="59">
        <f t="shared" si="21"/>
        <v>1638.0713815789472</v>
      </c>
      <c r="AB39" s="56">
        <f t="shared" si="16"/>
        <v>1699.8709210526317</v>
      </c>
      <c r="AC39" s="63">
        <f t="shared" si="19"/>
        <v>50.107565789473689</v>
      </c>
      <c r="AD39" s="43"/>
      <c r="AE39" s="46"/>
      <c r="AF39" s="46"/>
    </row>
    <row r="40" spans="2:32" ht="13.15">
      <c r="B40" s="75"/>
      <c r="C40" s="75"/>
      <c r="D40" s="75"/>
      <c r="E40" s="75"/>
      <c r="F40" s="75"/>
      <c r="L40" s="59">
        <v>7382.34</v>
      </c>
      <c r="M40" s="56">
        <v>9999999</v>
      </c>
      <c r="N40" s="63">
        <v>0</v>
      </c>
      <c r="O40" s="43"/>
      <c r="P40" s="43"/>
      <c r="Q40" s="59">
        <f t="shared" si="17"/>
        <v>3642.6019736842109</v>
      </c>
      <c r="R40" s="56">
        <v>9999999</v>
      </c>
      <c r="S40" s="63">
        <f t="shared" si="14"/>
        <v>0</v>
      </c>
      <c r="T40" s="43"/>
      <c r="U40" s="43"/>
      <c r="V40" s="59">
        <f t="shared" si="20"/>
        <v>3399.7618421052634</v>
      </c>
      <c r="W40" s="56">
        <v>9999999</v>
      </c>
      <c r="X40" s="63">
        <f t="shared" ref="X40" si="22">(S40/15)*14</f>
        <v>0</v>
      </c>
      <c r="Y40" s="43"/>
      <c r="Z40" s="43"/>
      <c r="AA40" s="59">
        <f t="shared" si="21"/>
        <v>1699.8809210526317</v>
      </c>
      <c r="AB40" s="56">
        <v>9999999</v>
      </c>
      <c r="AC40" s="63">
        <f t="shared" si="19"/>
        <v>0</v>
      </c>
      <c r="AD40" s="43"/>
      <c r="AE40" s="46"/>
      <c r="AF40" s="46"/>
    </row>
    <row r="41" spans="2:32" ht="13.15">
      <c r="B41" s="75"/>
      <c r="C41" s="75"/>
      <c r="D41" s="75"/>
      <c r="E41" s="75"/>
      <c r="F41" s="75"/>
      <c r="L41" s="59"/>
      <c r="M41" s="56"/>
      <c r="N41" s="63"/>
      <c r="O41" s="43"/>
      <c r="P41" s="43"/>
      <c r="Q41" s="59"/>
      <c r="R41" s="56"/>
      <c r="S41" s="63"/>
      <c r="T41" s="43"/>
      <c r="U41" s="43"/>
      <c r="V41" s="59"/>
      <c r="W41" s="56"/>
      <c r="X41" s="63"/>
      <c r="Y41" s="43"/>
      <c r="Z41" s="43"/>
      <c r="AA41" s="59"/>
      <c r="AB41" s="56"/>
      <c r="AC41" s="63"/>
      <c r="AD41" s="43"/>
      <c r="AE41" s="46"/>
      <c r="AF41" s="46"/>
    </row>
    <row r="42" spans="2:32" ht="13.15">
      <c r="L42" s="60"/>
      <c r="M42" s="61"/>
      <c r="N42" s="64"/>
      <c r="O42" s="43"/>
      <c r="P42" s="43"/>
      <c r="Q42" s="60"/>
      <c r="R42" s="61"/>
      <c r="S42" s="64"/>
      <c r="T42" s="43"/>
      <c r="U42" s="43"/>
      <c r="V42" s="60"/>
      <c r="W42" s="61"/>
      <c r="X42" s="64"/>
      <c r="Y42" s="43"/>
      <c r="Z42" s="43"/>
      <c r="AA42" s="60"/>
      <c r="AB42" s="61"/>
      <c r="AC42" s="64"/>
      <c r="AD42" s="43"/>
      <c r="AE42" s="46"/>
      <c r="AF42" s="46"/>
    </row>
    <row r="43" spans="2:32" ht="13.15">
      <c r="AE43" s="46"/>
      <c r="AF43" s="46"/>
    </row>
    <row r="44" spans="2:32" ht="13.15"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6"/>
      <c r="AF44" s="46"/>
    </row>
    <row r="46" spans="2:32" ht="13.15"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</row>
  </sheetData>
  <mergeCells count="2">
    <mergeCell ref="A2:E2"/>
    <mergeCell ref="G2:J2"/>
  </mergeCells>
  <printOptions horizontalCentered="1" verticalCentered="1"/>
  <pageMargins left="0.75" right="0.75" top="1" bottom="1" header="0" footer="0"/>
  <pageSetup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RWB</vt:lpstr>
      <vt:lpstr>I.S.R.</vt:lpstr>
      <vt:lpstr>I.S.R.!Área_de_impresión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Samantha Espinosa</dc:creator>
  <cp:lastModifiedBy>Host Inc</cp:lastModifiedBy>
  <cp:lastPrinted>2021-01-06T04:28:39Z</cp:lastPrinted>
  <dcterms:created xsi:type="dcterms:W3CDTF">2018-03-01T13:53:17Z</dcterms:created>
  <dcterms:modified xsi:type="dcterms:W3CDTF">2021-02-03T05:09:12Z</dcterms:modified>
</cp:coreProperties>
</file>